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8640" windowHeight="7875" tabRatio="899" activeTab="0"/>
  </bookViews>
  <sheets>
    <sheet name="Прайс-лист" sheetId="1" r:id="rId1"/>
    <sheet name="Тенты" sheetId="2" r:id="rId2"/>
    <sheet name="Стройка" sheetId="3" r:id="rId3"/>
    <sheet name="Плёнка 12м" sheetId="4" r:id="rId4"/>
    <sheet name="Кассеты" sheetId="5" r:id="rId5"/>
    <sheet name="Каталог &quot;Славрос&quot;" sheetId="6" r:id="rId6"/>
    <sheet name="Схема проезда" sheetId="7" r:id="rId7"/>
  </sheets>
  <definedNames>
    <definedName name="_xlfn.CEILING.MATH" hidden="1">#NAME?</definedName>
    <definedName name="_xlfn.CEILING.PRECISE" hidden="1">#NAME?</definedName>
    <definedName name="Z_E1DE7194_2E7F_4F84_ABFE_762BCE03EB14_.wvu.Cols" localSheetId="0" hidden="1">'Прайс-лист'!$N:$O</definedName>
    <definedName name="Z_E1DE7194_2E7F_4F84_ABFE_762BCE03EB14_.wvu.PrintArea" localSheetId="5" hidden="1">'Каталог "Славрос"'!$A$1:$K$30</definedName>
    <definedName name="Z_E1DE7194_2E7F_4F84_ABFE_762BCE03EB14_.wvu.PrintArea" localSheetId="0" hidden="1">'Прайс-лист'!$A$1:$M$341</definedName>
    <definedName name="Z_E1DE7194_2E7F_4F84_ABFE_762BCE03EB14_.wvu.Rows" localSheetId="0" hidden="1">'Прайс-лист'!#REF!</definedName>
    <definedName name="_xlnm.Print_Area" localSheetId="4">'Кассеты'!$A$1:$J$115</definedName>
    <definedName name="_xlnm.Print_Area" localSheetId="5">'Каталог "Славрос"'!$A$1:$K$30</definedName>
    <definedName name="_xlnm.Print_Area" localSheetId="0">'Прайс-лист'!$A$1:$M$438</definedName>
    <definedName name="_xlnm.Print_Area" localSheetId="6">'Схема проезда'!$A$1:$I$48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78" authorId="0">
      <text>
        <r>
          <rPr>
            <b/>
            <sz val="8"/>
            <rFont val="Tahoma"/>
            <family val="2"/>
          </rPr>
          <t>Розница Агроспан -10%</t>
        </r>
      </text>
    </comment>
    <comment ref="N56" authorId="0">
      <text>
        <r>
          <rPr>
            <b/>
            <sz val="8"/>
            <rFont val="Tahoma"/>
            <family val="2"/>
          </rPr>
          <t>Базовая Аяском -10%</t>
        </r>
      </text>
    </comment>
  </commentList>
</comments>
</file>

<file path=xl/sharedStrings.xml><?xml version="1.0" encoding="utf-8"?>
<sst xmlns="http://schemas.openxmlformats.org/spreadsheetml/2006/main" count="1700" uniqueCount="747">
  <si>
    <t>3.0м</t>
  </si>
  <si>
    <t>кг</t>
  </si>
  <si>
    <t>Ширина,</t>
  </si>
  <si>
    <t xml:space="preserve">Толщина, </t>
  </si>
  <si>
    <t>мкм</t>
  </si>
  <si>
    <t xml:space="preserve">Вес, </t>
  </si>
  <si>
    <t>руб/кг</t>
  </si>
  <si>
    <t>руб/рулон</t>
  </si>
  <si>
    <t>АгроХозТорг</t>
  </si>
  <si>
    <t>Оптово-розничная база</t>
  </si>
  <si>
    <t>(863) 220.92.56</t>
  </si>
  <si>
    <t>(928) 15.15.300</t>
  </si>
  <si>
    <t>e-mail:</t>
  </si>
  <si>
    <t>agrohoztorg@list.ru</t>
  </si>
  <si>
    <t>м.</t>
  </si>
  <si>
    <t>2.0м (рукав)</t>
  </si>
  <si>
    <t>Закупка</t>
  </si>
  <si>
    <t>1.5м</t>
  </si>
  <si>
    <t>1.5м-СТ</t>
  </si>
  <si>
    <t>3.0м-СТ(3сл)</t>
  </si>
  <si>
    <t>Вес</t>
  </si>
  <si>
    <t xml:space="preserve"> тел/факс:</t>
  </si>
  <si>
    <t xml:space="preserve"> тел:</t>
  </si>
  <si>
    <t xml:space="preserve">   - прозрачная (без добавок)</t>
  </si>
  <si>
    <t>м.п.</t>
  </si>
  <si>
    <t>Намотка,</t>
  </si>
  <si>
    <t>руб./рулон</t>
  </si>
  <si>
    <t>руб./м.п.</t>
  </si>
  <si>
    <t>Плёнка полиэтиленовая</t>
  </si>
  <si>
    <t>Пленка армированная, 2м.х 25м. (полотно), 120г/м2</t>
  </si>
  <si>
    <t>Корея</t>
  </si>
  <si>
    <t>рул.</t>
  </si>
  <si>
    <t>Пленка армированная, 2м.х 50м. (полотно), 120г/м2</t>
  </si>
  <si>
    <t>Пленка армированная, 3м.х 50м. (п/рукав), 140г/м2</t>
  </si>
  <si>
    <t>Пленка армированная, 4м.х 50м. (п/рукав), 140г/м2</t>
  </si>
  <si>
    <t>Базовая</t>
  </si>
  <si>
    <t>Закуп. М2</t>
  </si>
  <si>
    <t>руб./м2</t>
  </si>
  <si>
    <r>
      <t xml:space="preserve">Тент ПВХ, 6м х 4м, </t>
    </r>
    <r>
      <rPr>
        <sz val="8"/>
        <rFont val="Arial"/>
        <family val="2"/>
      </rPr>
      <t>650 г/м2, синий</t>
    </r>
  </si>
  <si>
    <r>
      <t xml:space="preserve">Тент ПВХ, 6м х 8м, </t>
    </r>
    <r>
      <rPr>
        <sz val="8"/>
        <rFont val="Arial"/>
        <family val="2"/>
      </rPr>
      <t>650 г/м2, синий</t>
    </r>
  </si>
  <si>
    <r>
      <t xml:space="preserve">Тент ПВХ, 8м х 10м, </t>
    </r>
    <r>
      <rPr>
        <sz val="8"/>
        <rFont val="Arial"/>
        <family val="2"/>
      </rPr>
      <t>650 г/м2, синий</t>
    </r>
  </si>
  <si>
    <t>руб./шт.</t>
  </si>
  <si>
    <t xml:space="preserve">Тент "Тарпаулин", плотн. 120г/м2, зелёный, с люверсами по периметру ч/з 1 метр. </t>
  </si>
  <si>
    <t xml:space="preserve">Тент "Тарпаулин", плотн. 180г/м2, синий, с люверсами по периметру ч/з 1 метр. </t>
  </si>
  <si>
    <t xml:space="preserve">Тент ПВХ, плотн. 650г/м2, синий, с люверсами по периметру ч/з 0.5 метра. </t>
  </si>
  <si>
    <t>25`000-75`000 руб.</t>
  </si>
  <si>
    <t>75`000-150`000 руб.</t>
  </si>
  <si>
    <t>Более 150`000 руб.</t>
  </si>
  <si>
    <t>До 25`000 руб.</t>
  </si>
  <si>
    <t>г.Ростов-на-Дону, ул.Доватора 146/Л</t>
  </si>
  <si>
    <t>Г-8</t>
  </si>
  <si>
    <t>З-50</t>
  </si>
  <si>
    <t>Ф-8</t>
  </si>
  <si>
    <t>У-13-15</t>
  </si>
  <si>
    <t>У-22-35</t>
  </si>
  <si>
    <t>Б-10/10</t>
  </si>
  <si>
    <t>Лента бордюрная</t>
  </si>
  <si>
    <t>Б-10/30</t>
  </si>
  <si>
    <t>Б-10/50</t>
  </si>
  <si>
    <t>Б-15/10</t>
  </si>
  <si>
    <t>Б-15/30</t>
  </si>
  <si>
    <t>Б-15/50</t>
  </si>
  <si>
    <t>Б-20/10</t>
  </si>
  <si>
    <t>Б-20/30</t>
  </si>
  <si>
    <t>Б-20/50</t>
  </si>
  <si>
    <t>Рулон</t>
  </si>
  <si>
    <t>2*30</t>
  </si>
  <si>
    <t>1*20</t>
  </si>
  <si>
    <t>2*10</t>
  </si>
  <si>
    <t>2*5</t>
  </si>
  <si>
    <t>2*500</t>
  </si>
  <si>
    <t>2*100</t>
  </si>
  <si>
    <t>Славрос-Универсал M  (13*15мм)</t>
  </si>
  <si>
    <t>Славрос-Универсал L   (22*35мм)</t>
  </si>
  <si>
    <t>0.15*10</t>
  </si>
  <si>
    <t>0.15*30</t>
  </si>
  <si>
    <t>0.15*50</t>
  </si>
  <si>
    <t>0.20*10</t>
  </si>
  <si>
    <t>0.20*30</t>
  </si>
  <si>
    <t>0.20*50</t>
  </si>
  <si>
    <t>0.10*10</t>
  </si>
  <si>
    <t>0.10*30</t>
  </si>
  <si>
    <t>0.10*50</t>
  </si>
  <si>
    <t>Закупка 500-&gt;</t>
  </si>
  <si>
    <t>Артикул</t>
  </si>
  <si>
    <t>Сетка/решетка (ячейка, мм)</t>
  </si>
  <si>
    <t>ООО "АгроХозТорг"</t>
  </si>
  <si>
    <t>Намотка</t>
  </si>
  <si>
    <t>Площадь</t>
  </si>
  <si>
    <t>Веники СОРГО/Сибирьковые</t>
  </si>
  <si>
    <t>руб./шт</t>
  </si>
  <si>
    <r>
      <t xml:space="preserve">Веник МАЛЫЙ Сиб-вый </t>
    </r>
    <r>
      <rPr>
        <sz val="8"/>
        <rFont val="Arial"/>
        <family val="2"/>
      </rPr>
      <t>(25шт)</t>
    </r>
  </si>
  <si>
    <r>
      <t xml:space="preserve">Веник СРЕДНИЙ Сиб-вый </t>
    </r>
    <r>
      <rPr>
        <sz val="8"/>
        <rFont val="Arial"/>
        <family val="2"/>
      </rPr>
      <t>(20шт)</t>
    </r>
  </si>
  <si>
    <r>
      <t xml:space="preserve">Веник БОЛЬШОЙ Сиб-вый </t>
    </r>
    <r>
      <rPr>
        <sz val="8"/>
        <rFont val="Arial"/>
        <family val="2"/>
      </rPr>
      <t>(20шт)</t>
    </r>
  </si>
  <si>
    <t>Каталог</t>
  </si>
  <si>
    <t>Арт.</t>
  </si>
  <si>
    <t>Наименование</t>
  </si>
  <si>
    <t>Цвет</t>
  </si>
  <si>
    <t>Размеры</t>
  </si>
  <si>
    <t>Фото</t>
  </si>
  <si>
    <t>Славрос ОСС</t>
  </si>
  <si>
    <t xml:space="preserve">Новинка! Общестроительная сетка </t>
  </si>
  <si>
    <t>хаки</t>
  </si>
  <si>
    <t>2м*10м, 2м*25м, 2м*50м, 4м*25м</t>
  </si>
  <si>
    <t>Сетка для защиты саженцев</t>
  </si>
  <si>
    <t>чёрный</t>
  </si>
  <si>
    <t>0,95м *10м, размер ячейки 8мм*6 мм</t>
  </si>
  <si>
    <t>М-2</t>
  </si>
  <si>
    <t>Сетка противомоскитная</t>
  </si>
  <si>
    <t>серый, белый, хаки</t>
  </si>
  <si>
    <t>1м*30м, размер ячейки 2мм*2мм</t>
  </si>
  <si>
    <t>Новинка! Ф-10</t>
  </si>
  <si>
    <t>Садовая решётка 10*10</t>
  </si>
  <si>
    <t>зелёный, хаки</t>
  </si>
  <si>
    <t>1м*5м, 1м*10м, 1м*20м, размер ячейки 10см*10см</t>
  </si>
  <si>
    <t>Новинка!</t>
  </si>
  <si>
    <t>Бордюрная лента</t>
  </si>
  <si>
    <t>чёрный, коричневый, хаки</t>
  </si>
  <si>
    <t>10см*10м, 10см*30м, 10см*50м, 15см*10м, 15см*30м, 15см*50м, 20см*10м, 20см*30м, 20см*50м</t>
  </si>
  <si>
    <t>Ф-15</t>
  </si>
  <si>
    <t>Садовая решетка 15*15</t>
  </si>
  <si>
    <t>зелёный, хаки, синий</t>
  </si>
  <si>
    <t>1м* 25м, размер ячейки 15мм*15мм</t>
  </si>
  <si>
    <t>Бордюр для грядок</t>
  </si>
  <si>
    <t>20см* 8м</t>
  </si>
  <si>
    <t>Новинка! Ф-20</t>
  </si>
  <si>
    <t>Садовая решётка 20*20</t>
  </si>
  <si>
    <t>1м*5м, 1м*10м, 1м*20м, размер ячейки 20мм*20мм</t>
  </si>
  <si>
    <t>"Газон-1"</t>
  </si>
  <si>
    <t>2м* 30м, размер ячейки 8мм*6мм</t>
  </si>
  <si>
    <t>Новинка! Ф-45</t>
  </si>
  <si>
    <t>Садовая решётка 45*45</t>
  </si>
  <si>
    <t>1м*5м, 1м*10м, 1м*20м, размер ячейки 45мм*45мм</t>
  </si>
  <si>
    <t>Г-32</t>
  </si>
  <si>
    <t>"Газон-2"</t>
  </si>
  <si>
    <t>зелёный</t>
  </si>
  <si>
    <t>2м* 30м, размер ячейки 32мм*32мм</t>
  </si>
  <si>
    <t>Ф-50</t>
  </si>
  <si>
    <t>Садовая решетка 50*50</t>
  </si>
  <si>
    <t>1м*10/1м/20м, размер ячейки 50мм*50мм</t>
  </si>
  <si>
    <t>Ф-83</t>
  </si>
  <si>
    <t>Садовая решетка 83*83</t>
  </si>
  <si>
    <t>1м*10/1м * 20м, размер ячейки 83мм*83 мм</t>
  </si>
  <si>
    <t>З-55-19</t>
  </si>
  <si>
    <t>Заборная решётка 1,9</t>
  </si>
  <si>
    <t>1,9м*25м, размер ячейки 55м*58мм</t>
  </si>
  <si>
    <t>Садовая решетка / Решётка для птичников</t>
  </si>
  <si>
    <t>1,63м* 30м, размер ячейки 18мм*18 мм</t>
  </si>
  <si>
    <t>З-32</t>
  </si>
  <si>
    <t>Заборная решетка 2.0</t>
  </si>
  <si>
    <t>2м*30м, размер ячейки 32мм*32мм</t>
  </si>
  <si>
    <t>Сетка от птиц</t>
  </si>
  <si>
    <t>4м*5м/2м*5м/2м*10м, размер ячейки 19мм*19 мм</t>
  </si>
  <si>
    <t>Фасад-50</t>
  </si>
  <si>
    <t>Сетка для защиты строительных лесов  (усил. край, петли)</t>
  </si>
  <si>
    <t>3,9м*100 м, размер ячейки 2мм*3мм</t>
  </si>
  <si>
    <t>Ф-170</t>
  </si>
  <si>
    <t>Сетка шпалерная</t>
  </si>
  <si>
    <t>2м*500м/2м*1000м, размер ячейки 150м*170 мм</t>
  </si>
  <si>
    <t>У-6</t>
  </si>
  <si>
    <t>"Славрос-Универсал S"</t>
  </si>
  <si>
    <t>бесцветный, чёрный</t>
  </si>
  <si>
    <t>2м*500м / 2м*100 , размер ячейки 6мм*6мм</t>
  </si>
  <si>
    <t>Декоративный забор 1.2</t>
  </si>
  <si>
    <t>1,2м * 20м, размер ячейки 50мм</t>
  </si>
  <si>
    <t>"Славрос-Универсал L"</t>
  </si>
  <si>
    <t>2м*100м, размер ячейки 22мм*35мм</t>
  </si>
  <si>
    <t>З-55-12</t>
  </si>
  <si>
    <t>Заборная решетка 1.2</t>
  </si>
  <si>
    <t>1,2м*25м, размер ячейки 55мм*58мм</t>
  </si>
  <si>
    <t>"Славрос-Универсал М"</t>
  </si>
  <si>
    <t>2м*100м, размер ячейки 13мм*15мм</t>
  </si>
  <si>
    <t>З-70-15</t>
  </si>
  <si>
    <t>Заборная решетка 1.5</t>
  </si>
  <si>
    <t>1,5м*25м, размер ячейки 70мм*58 мм</t>
  </si>
  <si>
    <t>СД-20/30</t>
  </si>
  <si>
    <t>Геосетка</t>
  </si>
  <si>
    <t>3,9м*50м, размер ячейки 35мм*40мм</t>
  </si>
  <si>
    <t>А-90</t>
  </si>
  <si>
    <t>«Славрос-барьер» п/п</t>
  </si>
  <si>
    <t>красный, оранжевый, синий, зелёный</t>
  </si>
  <si>
    <t>1 м * 50 м, размер ячейки 45*90</t>
  </si>
  <si>
    <t>Стеклосетка интерьерная 65 гр.</t>
  </si>
  <si>
    <t>белый</t>
  </si>
  <si>
    <t>1*50 м, размер ячейки 5*5 мм</t>
  </si>
  <si>
    <t>А-50</t>
  </si>
  <si>
    <t>«Славрос-барьер» п/э</t>
  </si>
  <si>
    <t>красный</t>
  </si>
  <si>
    <t>1 * 20 м, размер ячейки 50*50</t>
  </si>
  <si>
    <t>Стеклосетка штукатурная 125 гр.</t>
  </si>
  <si>
    <t>1*20 м, размер ячейки 5*5 мм</t>
  </si>
  <si>
    <t>Фасад-30</t>
  </si>
  <si>
    <t>4*100 м, размер ячейки 3*10, мм</t>
  </si>
  <si>
    <t>Стеклосетка малярная 43 гр.</t>
  </si>
  <si>
    <t>1*50 м, размер ячейки 2*2 мм</t>
  </si>
  <si>
    <t>С-5</t>
  </si>
  <si>
    <t>Сетка кладочная</t>
  </si>
  <si>
    <t>0,5 х 100 м, размер ячейки 5*5</t>
  </si>
  <si>
    <t>Д-32</t>
  </si>
  <si>
    <t>"Славрос-тротуар"</t>
  </si>
  <si>
    <t>2х30, размер ячейки 32*32</t>
  </si>
  <si>
    <t>г. Ростов-на-Дону</t>
  </si>
  <si>
    <t>ул.Доватора 146 "Л"</t>
  </si>
  <si>
    <t>тел/факс:</t>
  </si>
  <si>
    <t>(863) 220-92-56</t>
  </si>
  <si>
    <t>тел:</t>
  </si>
  <si>
    <t>8-928-15-15-300</t>
  </si>
  <si>
    <t>Схема проезда</t>
  </si>
  <si>
    <t>руб./бухта</t>
  </si>
  <si>
    <t>ООО "Агрохозторг"</t>
  </si>
  <si>
    <t>Сетка общестроительная ОСС</t>
  </si>
  <si>
    <t>2*25</t>
  </si>
  <si>
    <t>1*50</t>
  </si>
  <si>
    <t>www.agrohoztorg.ru</t>
  </si>
  <si>
    <t>сайт:</t>
  </si>
  <si>
    <r>
      <t xml:space="preserve">Веник Плетёнка СОРГО </t>
    </r>
    <r>
      <rPr>
        <sz val="8"/>
        <rFont val="Arial"/>
        <family val="2"/>
      </rPr>
      <t>(50/100шт)</t>
    </r>
  </si>
  <si>
    <t>Посуда пластиковая</t>
  </si>
  <si>
    <t>Таз пластиковый 10л.</t>
  </si>
  <si>
    <t>Таз пластиковый   8л.</t>
  </si>
  <si>
    <t>Таз пластиковый 12л.</t>
  </si>
  <si>
    <t>Таз пластиковый 14л.</t>
  </si>
  <si>
    <t>Таз пластиковый 16л.</t>
  </si>
  <si>
    <t>Таз пластиковый 19л.</t>
  </si>
  <si>
    <t>Таз пластиковый 20л.</t>
  </si>
  <si>
    <t>Таз пластиковый 28л.</t>
  </si>
  <si>
    <r>
      <t xml:space="preserve">Веник Эконом 2 шва СОРГО </t>
    </r>
    <r>
      <rPr>
        <sz val="8"/>
        <rFont val="Arial"/>
        <family val="2"/>
      </rPr>
      <t>(50/100шт)</t>
    </r>
  </si>
  <si>
    <r>
      <t xml:space="preserve">Веник Люкс 3 шва СОРГО </t>
    </r>
    <r>
      <rPr>
        <sz val="8"/>
        <rFont val="Arial"/>
        <family val="2"/>
      </rPr>
      <t>(50/100шт)</t>
    </r>
  </si>
  <si>
    <t>Ведро пластиковое 10л. "Компласт"</t>
  </si>
  <si>
    <t>Ведро пластиковое 10л.-2 "Компласт"</t>
  </si>
  <si>
    <t>Ведро пластиковое 12л. "Компласт"</t>
  </si>
  <si>
    <t>Ведро пластиковое  4л. Пятигорск</t>
  </si>
  <si>
    <t>Ведро пластиковое  6л. Пятигорск</t>
  </si>
  <si>
    <t>Ведро пластиковое  8л. Пятигорск</t>
  </si>
  <si>
    <t>Ведро пластиковое 10л. Пятигорск</t>
  </si>
  <si>
    <t>Ведро пластиковое 10л. (белое)  Пятигорск</t>
  </si>
  <si>
    <t>Ведро пластиковое 10л. (с крышкой)  Пятигорск</t>
  </si>
  <si>
    <t>Ведро пластиковое 12л.  Пятигорск</t>
  </si>
  <si>
    <t>Ящик для рассады, Пятигорск</t>
  </si>
  <si>
    <t>Савок для мусора, Пятигорск</t>
  </si>
  <si>
    <t>Коврик "Травка", Компласт</t>
  </si>
  <si>
    <t>ЛКО</t>
  </si>
  <si>
    <t>ЛСО</t>
  </si>
  <si>
    <t>диам.40мм</t>
  </si>
  <si>
    <t>диам.30мм</t>
  </si>
  <si>
    <r>
      <t>Плёнка в/пуз. Т148   1.5м/25м.п.   (</t>
    </r>
    <r>
      <rPr>
        <sz val="10"/>
        <rFont val="Arial Cyr"/>
        <family val="0"/>
      </rPr>
      <t>Ø10 / h4)</t>
    </r>
  </si>
  <si>
    <r>
      <t>Плёнка в/пуз. Т148   1.5м/75м.п.   (</t>
    </r>
    <r>
      <rPr>
        <sz val="10"/>
        <rFont val="Arial Cyr"/>
        <family val="0"/>
      </rPr>
      <t>Ø10 / h4)</t>
    </r>
  </si>
  <si>
    <r>
      <t>Плёнка в/пуз. Т183   1.5м/25м.п.   (</t>
    </r>
    <r>
      <rPr>
        <sz val="10"/>
        <rFont val="Arial Cyr"/>
        <family val="0"/>
      </rPr>
      <t>Ø10 / h4)</t>
    </r>
  </si>
  <si>
    <r>
      <t>Плёнка в/пуз. Т183   1.5м/75м.п.   (</t>
    </r>
    <r>
      <rPr>
        <sz val="10"/>
        <rFont val="Arial Cyr"/>
        <family val="0"/>
      </rPr>
      <t>Ø10 / h4)</t>
    </r>
  </si>
  <si>
    <r>
      <t>Плёнка в/пуз. Т183   1.5м/25м.п.   (</t>
    </r>
    <r>
      <rPr>
        <sz val="10"/>
        <rFont val="Arial Cyr"/>
        <family val="0"/>
      </rPr>
      <t>Ø25 / h8)</t>
    </r>
  </si>
  <si>
    <t>М-200     М-400</t>
  </si>
  <si>
    <t>Ф-18      П-18</t>
  </si>
  <si>
    <t>"Славрос-барьер", оранж.</t>
  </si>
  <si>
    <t>п.м.</t>
  </si>
  <si>
    <r>
      <t xml:space="preserve">Метла L130см с ручкой БАМБУК + РИС </t>
    </r>
    <r>
      <rPr>
        <sz val="8"/>
        <rFont val="Arial"/>
        <family val="2"/>
      </rPr>
      <t>(25шт)</t>
    </r>
  </si>
  <si>
    <r>
      <t xml:space="preserve">Веник L80см цветная ручка РИС </t>
    </r>
    <r>
      <rPr>
        <sz val="8"/>
        <rFont val="Arial"/>
        <family val="2"/>
      </rPr>
      <t>(50шт)</t>
    </r>
  </si>
  <si>
    <r>
      <t xml:space="preserve">Жалюзи 120*160мм БАМБУК </t>
    </r>
    <r>
      <rPr>
        <sz val="8"/>
        <rFont val="Arial"/>
        <family val="2"/>
      </rPr>
      <t>(10шт)</t>
    </r>
  </si>
  <si>
    <t>Метла пластиковая / черенок</t>
  </si>
  <si>
    <t>Метла пласт. №1 (Мягкая)</t>
  </si>
  <si>
    <t>Метла пласт. №2 (Веерная)</t>
  </si>
  <si>
    <t>Метла пласт. №3 (Широкая)</t>
  </si>
  <si>
    <t>Метла пласт. №6+ (Плюс)</t>
  </si>
  <si>
    <t>Метла пласт. №7 (Профи)</t>
  </si>
  <si>
    <t>Метла пласт. №9 (Люкс)</t>
  </si>
  <si>
    <t>Изделия из бамбука / риса</t>
  </si>
  <si>
    <r>
      <t xml:space="preserve">Жалюзи 140*160мм БАМБУК </t>
    </r>
    <r>
      <rPr>
        <sz val="8"/>
        <rFont val="Arial"/>
        <family val="2"/>
      </rPr>
      <t>(10шт)</t>
    </r>
  </si>
  <si>
    <r>
      <t xml:space="preserve">Циновка </t>
    </r>
    <r>
      <rPr>
        <sz val="10"/>
        <rFont val="Arial Cyr"/>
        <family val="0"/>
      </rPr>
      <t>Ø</t>
    </r>
    <r>
      <rPr>
        <sz val="10"/>
        <rFont val="Arial"/>
        <family val="2"/>
      </rPr>
      <t>60см (круглая)</t>
    </r>
  </si>
  <si>
    <r>
      <t xml:space="preserve">Циновка </t>
    </r>
    <r>
      <rPr>
        <sz val="10"/>
        <rFont val="Arial Cyr"/>
        <family val="0"/>
      </rPr>
      <t>Ø7</t>
    </r>
    <r>
      <rPr>
        <sz val="10"/>
        <rFont val="Arial"/>
        <family val="2"/>
      </rPr>
      <t>0см (круглая)</t>
    </r>
  </si>
  <si>
    <t>Циновка 35*60см (прямоугольная)</t>
  </si>
  <si>
    <r>
      <t xml:space="preserve">Циновка </t>
    </r>
    <r>
      <rPr>
        <sz val="10"/>
        <rFont val="Arial Cyr"/>
        <family val="0"/>
      </rPr>
      <t>Ø9</t>
    </r>
    <r>
      <rPr>
        <sz val="10"/>
        <rFont val="Arial"/>
        <family val="2"/>
      </rPr>
      <t>0см (круглая)</t>
    </r>
  </si>
  <si>
    <t>Циновка 50*70см (прямоугольная)</t>
  </si>
  <si>
    <t>Ширина рукава</t>
  </si>
  <si>
    <t>Марка, плотность мат-ла</t>
  </si>
  <si>
    <t>л.ч./л.ч.-м</t>
  </si>
  <si>
    <t>1.1 / 5.0</t>
  </si>
  <si>
    <t>1.6 / 7.5</t>
  </si>
  <si>
    <t>1.1 / 3.4</t>
  </si>
  <si>
    <t>1.6 / 5.0</t>
  </si>
  <si>
    <t>1.1 / 2.5</t>
  </si>
  <si>
    <t>1.6 / 3.6</t>
  </si>
  <si>
    <t>1.1 / 10.0</t>
  </si>
  <si>
    <t>1.6 / 14.5</t>
  </si>
  <si>
    <t xml:space="preserve">  Оптово-розничная база</t>
  </si>
  <si>
    <t>Кассеты для выращивания рассады</t>
  </si>
  <si>
    <t>Количество ячеек</t>
  </si>
  <si>
    <t>49 (7х7)</t>
  </si>
  <si>
    <t>Объём ячеек</t>
  </si>
  <si>
    <t>150см.куб</t>
  </si>
  <si>
    <t>Размер ячейки</t>
  </si>
  <si>
    <t>55х55х70мм</t>
  </si>
  <si>
    <t>Диаметр отверстия</t>
  </si>
  <si>
    <t>8мм</t>
  </si>
  <si>
    <t>Толщина исходного листа</t>
  </si>
  <si>
    <t>1 - 1.2мм</t>
  </si>
  <si>
    <t>Габариты кассеты</t>
  </si>
  <si>
    <t>400х400мм</t>
  </si>
  <si>
    <t>Кол-во корней на 1 м"</t>
  </si>
  <si>
    <t>300шт</t>
  </si>
  <si>
    <t>Рекомендуемый субстрат</t>
  </si>
  <si>
    <t>Торф 7.5 л/кассета</t>
  </si>
  <si>
    <t>64 (8х8)</t>
  </si>
  <si>
    <t>45х45х50мм</t>
  </si>
  <si>
    <t>6мм</t>
  </si>
  <si>
    <t>400шт</t>
  </si>
  <si>
    <t>Любой 3.2 л/кассета</t>
  </si>
  <si>
    <t>90 (9х10)</t>
  </si>
  <si>
    <t>40х38х50мм</t>
  </si>
  <si>
    <t>560шт</t>
  </si>
  <si>
    <t>Торф 4.5 л/кассета</t>
  </si>
  <si>
    <t>144 (12х12)</t>
  </si>
  <si>
    <t>200см.куб</t>
  </si>
  <si>
    <t>30х30х42мм</t>
  </si>
  <si>
    <t>6 и 10мм</t>
  </si>
  <si>
    <t>900шт</t>
  </si>
  <si>
    <t>Торф, торфосмесь 2.8л</t>
  </si>
  <si>
    <t>54 (6х9)</t>
  </si>
  <si>
    <t>50х50мм</t>
  </si>
  <si>
    <t>22мм</t>
  </si>
  <si>
    <t>515х335мм</t>
  </si>
  <si>
    <t>310шт</t>
  </si>
  <si>
    <t>Торф, торфосмесь 4,8л</t>
  </si>
  <si>
    <t>128 (8х16)</t>
  </si>
  <si>
    <t>1мм</t>
  </si>
  <si>
    <t>330х660мм</t>
  </si>
  <si>
    <t>640шт</t>
  </si>
  <si>
    <t>Торф 4.5л/кассета</t>
  </si>
  <si>
    <t>50 (5х10)</t>
  </si>
  <si>
    <t>60х60х60мм</t>
  </si>
  <si>
    <t>330х560мм</t>
  </si>
  <si>
    <t>250шт</t>
  </si>
  <si>
    <t>Торф 10л/кассета</t>
  </si>
  <si>
    <t>Ед.</t>
  </si>
  <si>
    <t>шт</t>
  </si>
  <si>
    <t>Поддон для кассет №128 и 50</t>
  </si>
  <si>
    <t>По вопросам приобретения просим обращаться по телефонам                 8(863)220.92.56, 8.928.15.15.300</t>
  </si>
  <si>
    <r>
      <t>Кассета №49</t>
    </r>
    <r>
      <rPr>
        <sz val="10"/>
        <rFont val="Tahoma"/>
        <family val="2"/>
      </rPr>
      <t xml:space="preserve">  </t>
    </r>
    <r>
      <rPr>
        <sz val="8"/>
        <rFont val="Tahoma"/>
        <family val="2"/>
      </rPr>
      <t>(Финский стандарт)</t>
    </r>
  </si>
  <si>
    <r>
      <t>Кассета №64</t>
    </r>
    <r>
      <rPr>
        <sz val="10"/>
        <rFont val="Tahoma"/>
        <family val="2"/>
      </rPr>
      <t xml:space="preserve">  </t>
    </r>
    <r>
      <rPr>
        <sz val="8"/>
        <rFont val="Tahoma"/>
        <family val="2"/>
      </rPr>
      <t>(Финский стандарт)</t>
    </r>
  </si>
  <si>
    <r>
      <t>Кассета №90</t>
    </r>
    <r>
      <rPr>
        <sz val="10"/>
        <rFont val="Tahoma"/>
        <family val="2"/>
      </rPr>
      <t xml:space="preserve">  </t>
    </r>
    <r>
      <rPr>
        <sz val="8"/>
        <rFont val="Tahoma"/>
        <family val="2"/>
      </rPr>
      <t>(Финский стандарт)</t>
    </r>
  </si>
  <si>
    <r>
      <t>Кассета №144</t>
    </r>
    <r>
      <rPr>
        <sz val="10"/>
        <rFont val="Tahoma"/>
        <family val="2"/>
      </rPr>
      <t xml:space="preserve">  </t>
    </r>
    <r>
      <rPr>
        <sz val="8"/>
        <rFont val="Tahoma"/>
        <family val="2"/>
      </rPr>
      <t>(Финский стандарт)</t>
    </r>
  </si>
  <si>
    <r>
      <t>Кассета №54</t>
    </r>
    <r>
      <rPr>
        <sz val="10"/>
        <rFont val="Tahoma"/>
        <family val="2"/>
      </rPr>
      <t xml:space="preserve">  </t>
    </r>
    <r>
      <rPr>
        <sz val="8"/>
        <rFont val="Tahoma"/>
        <family val="2"/>
      </rPr>
      <t>(Немецкий стандарт)</t>
    </r>
  </si>
  <si>
    <r>
      <t>Кассета №128</t>
    </r>
    <r>
      <rPr>
        <sz val="10"/>
        <rFont val="Tahoma"/>
        <family val="2"/>
      </rPr>
      <t xml:space="preserve">  </t>
    </r>
    <r>
      <rPr>
        <sz val="8"/>
        <rFont val="Tahoma"/>
        <family val="2"/>
      </rPr>
      <t>(Израильский стандарт)</t>
    </r>
  </si>
  <si>
    <r>
      <t>Кассета №50</t>
    </r>
    <r>
      <rPr>
        <sz val="10"/>
        <rFont val="Tahoma"/>
        <family val="2"/>
      </rPr>
      <t xml:space="preserve">  </t>
    </r>
    <r>
      <rPr>
        <sz val="8"/>
        <rFont val="Tahoma"/>
        <family val="2"/>
      </rPr>
      <t>(Израильский стандарт)</t>
    </r>
  </si>
  <si>
    <t>200-500</t>
  </si>
  <si>
    <t>500-1000</t>
  </si>
  <si>
    <t>1000-&gt;</t>
  </si>
  <si>
    <t>-&gt;200</t>
  </si>
  <si>
    <t>0.8 / 2.5</t>
  </si>
  <si>
    <t>0.8 / 1.8</t>
  </si>
  <si>
    <t>0.8 / 7.3</t>
  </si>
  <si>
    <t>0.8 / 3.7</t>
  </si>
  <si>
    <t>Пленка армированная, 6м.х 25м. (п/рукав), 140г/м2</t>
  </si>
  <si>
    <t>Лопата ШТЫКОВАЯ (ЛКО)</t>
  </si>
  <si>
    <t>Лопата СОВКОВАЯ (ЛСО)</t>
  </si>
  <si>
    <r>
      <t xml:space="preserve">Черенок д/снег.лопаты, (Ø36мм), </t>
    </r>
    <r>
      <rPr>
        <sz val="8"/>
        <rFont val="Arial"/>
        <family val="2"/>
      </rPr>
      <t>10шт/уп</t>
    </r>
  </si>
  <si>
    <r>
      <t xml:space="preserve">Черенок д/тяпки,             (Ø30мм), </t>
    </r>
    <r>
      <rPr>
        <sz val="8"/>
        <rFont val="Arial"/>
        <family val="2"/>
      </rPr>
      <t>30шт/уп</t>
    </r>
  </si>
  <si>
    <r>
      <t xml:space="preserve">Черенок д/лопаты,          (Ø40мм), </t>
    </r>
    <r>
      <rPr>
        <sz val="8"/>
        <rFont val="Arial"/>
        <family val="2"/>
      </rPr>
      <t>20шт/уп</t>
    </r>
  </si>
  <si>
    <r>
      <t xml:space="preserve">Черенок д/граблей,        (Ø30мм), </t>
    </r>
    <r>
      <rPr>
        <sz val="8"/>
        <rFont val="Arial"/>
        <family val="2"/>
      </rPr>
      <t>25шт/уп</t>
    </r>
  </si>
  <si>
    <t>Лопата СНЕГОВАЯ пластиковая</t>
  </si>
  <si>
    <t>руб/м.п.</t>
  </si>
  <si>
    <t>Лопата СНЕГОВАЯ (ЛСУ-2), снеговая/уборочная</t>
  </si>
  <si>
    <t>35х35х60мм</t>
  </si>
  <si>
    <t>руб/упак</t>
  </si>
  <si>
    <t>закупка</t>
  </si>
  <si>
    <t>Армитекс - В,   1.5м*50м   (70м2)</t>
  </si>
  <si>
    <t>Армитекс - С,   1.4м*50м   (70м2)</t>
  </si>
  <si>
    <t>Армитекс - Д,   1.5м*50м   (75м2)</t>
  </si>
  <si>
    <t>Геотестиль Геосад -   60, 1.6м*50м   (80м2)</t>
  </si>
  <si>
    <t>Лейка 6.5л. с рассеивателем</t>
  </si>
  <si>
    <t>Лейка 10л. С рассеивателем</t>
  </si>
  <si>
    <t>Умывальник 3л. Пластиковый</t>
  </si>
  <si>
    <t>HL-01</t>
  </si>
  <si>
    <t xml:space="preserve">      1*20</t>
  </si>
  <si>
    <t>HL-02</t>
  </si>
  <si>
    <t>B-1712</t>
  </si>
  <si>
    <t xml:space="preserve">    1,7*500</t>
  </si>
  <si>
    <t xml:space="preserve">   1,7*1000</t>
  </si>
  <si>
    <t>B-2012</t>
  </si>
  <si>
    <t xml:space="preserve">    2,0*500</t>
  </si>
  <si>
    <t>B-1212</t>
  </si>
  <si>
    <t xml:space="preserve">    1,2*500</t>
  </si>
  <si>
    <t>B-1008</t>
  </si>
  <si>
    <t xml:space="preserve">    1,0*500</t>
  </si>
  <si>
    <t>Марка материала</t>
  </si>
  <si>
    <t xml:space="preserve">   - светостабилизированная</t>
  </si>
  <si>
    <t>Специальная -9%</t>
  </si>
  <si>
    <t>Агроспан 17</t>
  </si>
  <si>
    <t>Агроспан 30</t>
  </si>
  <si>
    <t>Агроспан 42</t>
  </si>
  <si>
    <t>Агроспан 60</t>
  </si>
  <si>
    <t>Мульча 60 (чёрн.)</t>
  </si>
  <si>
    <t>Длина,</t>
  </si>
  <si>
    <t>Прайс Аяском</t>
  </si>
  <si>
    <r>
      <t xml:space="preserve">Агроспан </t>
    </r>
    <r>
      <rPr>
        <sz val="16"/>
        <rFont val="Tahoma"/>
        <family val="2"/>
      </rPr>
      <t>42</t>
    </r>
  </si>
  <si>
    <r>
      <t xml:space="preserve">Агроспан </t>
    </r>
    <r>
      <rPr>
        <sz val="16"/>
        <rFont val="Tahoma"/>
        <family val="2"/>
      </rPr>
      <t>30</t>
    </r>
  </si>
  <si>
    <r>
      <t xml:space="preserve">Агроспан </t>
    </r>
    <r>
      <rPr>
        <sz val="16"/>
        <rFont val="Tahoma"/>
        <family val="2"/>
      </rPr>
      <t>17</t>
    </r>
  </si>
  <si>
    <t>Тент "Тарпаулин",    2м х 3м, 120 г/м2, зелёный</t>
  </si>
  <si>
    <t>Тент "Тарпаулин",    3м х 4м, 120 г/м2, зелёный</t>
  </si>
  <si>
    <t>Тент "Тарпаулин",    3м х 5м, 120 г/м2, зелёный</t>
  </si>
  <si>
    <t>Тент "Тарпаулин",    3м х 6м, 120 г/м2, зелёный</t>
  </si>
  <si>
    <t>Тент "Тарпаулин",    4м х 5м, 120 г/м2, зелёный</t>
  </si>
  <si>
    <t>Тент "Тарпаулин",    4м х 6м, 120 г/м2, зелёный</t>
  </si>
  <si>
    <t>Тент "Тарпаулин",    4м х 8м, 120 г/м2, зелёный</t>
  </si>
  <si>
    <t>Тент "Тарпаулин",    5м х 6м, 120 г/м2, зелёный</t>
  </si>
  <si>
    <t>Тент "Тарпаулин",    6м х 8м, 120 г/м2, зелёный</t>
  </si>
  <si>
    <t>Тент "Тарпаулин",    6м х 10м, 120 г/м2, зелёный</t>
  </si>
  <si>
    <t>Тент "Тарпаулин",    8м х 10м, 120 г/м2, зелёный</t>
  </si>
  <si>
    <t>Тент "Тарпаулин",    8м х 12м, 120 г/м2, зелёный</t>
  </si>
  <si>
    <t>Тент "Тарпаулин",  10м х 12м, 120 г/м2, зелёный</t>
  </si>
  <si>
    <t>Тент "Тарпаулин",  10м х 15м, 120 г/м2, зелёный</t>
  </si>
  <si>
    <t>Тент "Тарпаулин",  10м х 20м, 120 г/м2, зелёный</t>
  </si>
  <si>
    <t>Тент "Тарпаулин",  15м х 15м, 120 г/м2, зелёный</t>
  </si>
  <si>
    <t>Тент "Тарпаулин",  15м х 20м, 120 г/м2, зелёный</t>
  </si>
  <si>
    <t>Тент "Тарпаулин",  20м х 20м, 120 г/м2, зелёный</t>
  </si>
  <si>
    <t>Тент "Тарпаулин",    2м х 3м, 180 г/м2, синий</t>
  </si>
  <si>
    <t>Тент "Тарпаулин",    3м х 4м, 180 г/м2, синий</t>
  </si>
  <si>
    <t>Тент "Тарпаулин",    3м х 5м, 180 г/м2, синий</t>
  </si>
  <si>
    <t>Тент "Тарпаулин",    3м х 6м, 180 г/м2, синий</t>
  </si>
  <si>
    <t>Тент "Тарпаулин",    4м х 5м, 180 г/м2, синий</t>
  </si>
  <si>
    <t>Тент "Тарпаулин",    4м х 6м, 180 г/м2, синий</t>
  </si>
  <si>
    <t>Тент "Тарпаулин",    4м х 8м, 180 г/м2, синий</t>
  </si>
  <si>
    <t>Тент "Тарпаулин",    5м х 6м, 180 г/м2, синий</t>
  </si>
  <si>
    <t>Тент "Тарпаулин",    6м х 8м, 180 г/м2, синий</t>
  </si>
  <si>
    <t>Тент "Тарпаулин",    6м х 10м, 180 г/м2, синий</t>
  </si>
  <si>
    <t>Тент "Тарпаулин",    8м х 10м, 180 г/м2, синий</t>
  </si>
  <si>
    <t>Тент "Тарпаулин",    8м х 12м, 180 г/м2, синий</t>
  </si>
  <si>
    <t>Тент "Тарпаулин",  10м х 12м, 180 г/м2, синий</t>
  </si>
  <si>
    <t xml:space="preserve"> моб:</t>
  </si>
  <si>
    <t>Мульча  СУФ-60 (чёрн.)</t>
  </si>
  <si>
    <t>Специальная -13%</t>
  </si>
  <si>
    <t>Специальная</t>
  </si>
  <si>
    <t>Кассета №49, 1.2мм</t>
  </si>
  <si>
    <t>Кассета №64, 1.0мм</t>
  </si>
  <si>
    <t>Кассета №90, 1.0мм</t>
  </si>
  <si>
    <t>Кассета №144, 1.0мм</t>
  </si>
  <si>
    <t>Кассета №54, 1.2мм</t>
  </si>
  <si>
    <t>Кассета №128, 1.0мм</t>
  </si>
  <si>
    <t>Кассета №50, 1.0мм</t>
  </si>
  <si>
    <t>Кассета №64(м), 1.2мм</t>
  </si>
  <si>
    <t>Спанбонд-Агро-17</t>
  </si>
  <si>
    <t>Спанбонд-Агро-30</t>
  </si>
  <si>
    <t>Спанбонд-Агро-42</t>
  </si>
  <si>
    <t>Спанбонд-Агро-60</t>
  </si>
  <si>
    <t>Г-32/2/30</t>
  </si>
  <si>
    <t>Ф-15/1/20</t>
  </si>
  <si>
    <t>Садовая решетка 15*15    20м.</t>
  </si>
  <si>
    <t>Ф-17/1/20</t>
  </si>
  <si>
    <t>Садовая решетка 17*17    20м.</t>
  </si>
  <si>
    <t>0,9*20</t>
  </si>
  <si>
    <t>Садовая решетка 35*40    20 м.</t>
  </si>
  <si>
    <t>0,5*20</t>
  </si>
  <si>
    <t>Ф-50/1/20</t>
  </si>
  <si>
    <t>Ф-60/1/20</t>
  </si>
  <si>
    <t>Садовая решетка 50*60    20м</t>
  </si>
  <si>
    <t>Ф-83/1/20</t>
  </si>
  <si>
    <t>Ф-90/1/20</t>
  </si>
  <si>
    <t>Садовая решетка 90*100  20 м</t>
  </si>
  <si>
    <t>Садовая  решетка 18*18   30 м.</t>
  </si>
  <si>
    <t>1,6*30</t>
  </si>
  <si>
    <t>Ф-13/1/50</t>
  </si>
  <si>
    <t>Сетка для птичников</t>
  </si>
  <si>
    <t>У-6/2/10</t>
  </si>
  <si>
    <t>1,7*500</t>
  </si>
  <si>
    <t>Ф-170/2/5</t>
  </si>
  <si>
    <t>Ф-170/2/10</t>
  </si>
  <si>
    <t>Заборная решетка   1.2</t>
  </si>
  <si>
    <t>1,2*25</t>
  </si>
  <si>
    <t>Заборная решетка   1.5</t>
  </si>
  <si>
    <t>1,5*25</t>
  </si>
  <si>
    <t>Заборная решетка   1.9</t>
  </si>
  <si>
    <t>1,9*25</t>
  </si>
  <si>
    <t>З-32/2/30</t>
  </si>
  <si>
    <t>Садовая решетка 50*50    20 м.</t>
  </si>
  <si>
    <t>Садовая решетка 83*83    20 м.</t>
  </si>
  <si>
    <t>Славрос-Универсал S   (6*6мм)</t>
  </si>
  <si>
    <t>У-13/2/100</t>
  </si>
  <si>
    <t>У-  6/2/100</t>
  </si>
  <si>
    <t>У-22/2/100</t>
  </si>
  <si>
    <t>Сетка от птиц,    2*5м     (6*6мм)</t>
  </si>
  <si>
    <t>Сетка от птиц,    2*10 м  (6*6мм)</t>
  </si>
  <si>
    <t>У-6/2/5</t>
  </si>
  <si>
    <t>Садовая решетка 24*24    20м.</t>
  </si>
  <si>
    <t>Ф-24/1.8/20</t>
  </si>
  <si>
    <t>1.8*20</t>
  </si>
  <si>
    <t>Ф-24/0.9/20</t>
  </si>
  <si>
    <t>Ф-35/0.5/20</t>
  </si>
  <si>
    <t>Ф-18/1.6/30</t>
  </si>
  <si>
    <t>Ф-150/1.7/500</t>
  </si>
  <si>
    <t>З-55/1.2/25</t>
  </si>
  <si>
    <t>З-70/1.5/25</t>
  </si>
  <si>
    <t>З-55/1.9/25</t>
  </si>
  <si>
    <t>Пластиковые сетки и решётки "REX international Kft." (Венгрия)</t>
  </si>
  <si>
    <t>Сетка шпалерная (150*170)</t>
  </si>
  <si>
    <t>Сетка шпалерная (100*100)</t>
  </si>
  <si>
    <t>Сетка шпалерная (125*125)</t>
  </si>
  <si>
    <t>Садовая решетка (15*15)</t>
  </si>
  <si>
    <t>Садовая решетка (50*50)</t>
  </si>
  <si>
    <t>Размер</t>
  </si>
  <si>
    <t>м*м</t>
  </si>
  <si>
    <t>Сетка фасадная 30г/м2</t>
  </si>
  <si>
    <t>4*100</t>
  </si>
  <si>
    <t>Сетка фасадная 60г/м2</t>
  </si>
  <si>
    <t>Сетка фасадная 72г/м2</t>
  </si>
  <si>
    <t>3*50</t>
  </si>
  <si>
    <t>Пленка армированная, 3м.х 50м. (п/рукав), 120г/м2</t>
  </si>
  <si>
    <t>Пленка армированная, 4м.х 50м. (п/рукав), 120г/м2</t>
  </si>
  <si>
    <r>
      <t xml:space="preserve">     Агроспан </t>
    </r>
    <r>
      <rPr>
        <sz val="16"/>
        <rFont val="Tahoma"/>
        <family val="2"/>
      </rPr>
      <t>60</t>
    </r>
  </si>
  <si>
    <r>
      <t>Мульча</t>
    </r>
    <r>
      <rPr>
        <b/>
        <sz val="12"/>
        <rFont val="Tahoma"/>
        <family val="2"/>
      </rPr>
      <t xml:space="preserve"> </t>
    </r>
    <r>
      <rPr>
        <sz val="16"/>
        <rFont val="Tahoma"/>
        <family val="2"/>
      </rPr>
      <t>60 (чёрн.)</t>
    </r>
  </si>
  <si>
    <t>Ветро-влагозащита</t>
  </si>
  <si>
    <t>Универс. пароизоляция</t>
  </si>
  <si>
    <t>Изолтекс - В, 1.6м, (60м2)</t>
  </si>
  <si>
    <t>Изолтекс - С, 1.6м, (60м2)</t>
  </si>
  <si>
    <t>Изолтекс - СМ, 1.6м, (60м2)</t>
  </si>
  <si>
    <t>Гидроизоляция</t>
  </si>
  <si>
    <t>Изолтекс - Д, 1.5м, (60м2)</t>
  </si>
  <si>
    <t>Огнестойкие мембраны</t>
  </si>
  <si>
    <t>Негорючие мат-лы, НГ</t>
  </si>
  <si>
    <t>М2</t>
  </si>
  <si>
    <t>ИП Сапсай О.А.</t>
  </si>
  <si>
    <t>Изолтекс - СДМ, 1.5м (75м2)</t>
  </si>
  <si>
    <t>Пленка армированная, 3м.х 10м., 120г/м2</t>
  </si>
  <si>
    <t>Пленка армированная, 2м.х 10м., 120г/м2</t>
  </si>
  <si>
    <t>Пленка армированная, 4м.х 10м., 120г/м2</t>
  </si>
  <si>
    <t>Капельная лента SABtape (Италия)</t>
  </si>
  <si>
    <t>5mil*11см*3810мп</t>
  </si>
  <si>
    <t>5mil*22см*3810мп</t>
  </si>
  <si>
    <t>5mil*33см*3810мп</t>
  </si>
  <si>
    <t>5mil*44см*3810мп</t>
  </si>
  <si>
    <t>6mil*11см*3048мп</t>
  </si>
  <si>
    <t>6mil*22см*3048мп</t>
  </si>
  <si>
    <t>6mil*33см*3048мп</t>
  </si>
  <si>
    <t>6mil*44см*3048мп</t>
  </si>
  <si>
    <t>8mil*11см*2286мп</t>
  </si>
  <si>
    <t>8mil*22см*2286мп</t>
  </si>
  <si>
    <t>8mil*33см*2286мп</t>
  </si>
  <si>
    <t>8mil*44см*2286мп</t>
  </si>
  <si>
    <t>Расход воды</t>
  </si>
  <si>
    <r>
      <t xml:space="preserve">150 </t>
    </r>
    <r>
      <rPr>
        <vertAlign val="superscript"/>
        <sz val="12"/>
        <rFont val="Arial"/>
        <family val="2"/>
      </rPr>
      <t>100мп</t>
    </r>
  </si>
  <si>
    <r>
      <t xml:space="preserve">200  </t>
    </r>
    <r>
      <rPr>
        <vertAlign val="superscript"/>
        <sz val="12"/>
        <rFont val="Arial"/>
        <family val="2"/>
      </rPr>
      <t>50мп</t>
    </r>
  </si>
  <si>
    <r>
      <t xml:space="preserve">120 </t>
    </r>
    <r>
      <rPr>
        <vertAlign val="superscript"/>
        <sz val="12"/>
        <rFont val="Arial"/>
        <family val="2"/>
      </rPr>
      <t>100мп</t>
    </r>
  </si>
  <si>
    <r>
      <t xml:space="preserve">100 </t>
    </r>
    <r>
      <rPr>
        <vertAlign val="superscript"/>
        <sz val="12"/>
        <rFont val="Arial"/>
        <family val="2"/>
      </rPr>
      <t>100мп</t>
    </r>
  </si>
  <si>
    <r>
      <t xml:space="preserve">150  </t>
    </r>
    <r>
      <rPr>
        <vertAlign val="superscript"/>
        <sz val="12"/>
        <rFont val="Arial"/>
        <family val="2"/>
      </rPr>
      <t>50мп</t>
    </r>
  </si>
  <si>
    <r>
      <t xml:space="preserve">200 </t>
    </r>
    <r>
      <rPr>
        <vertAlign val="superscript"/>
        <sz val="12"/>
        <rFont val="Arial"/>
        <family val="2"/>
      </rPr>
      <t xml:space="preserve"> 50мп</t>
    </r>
  </si>
  <si>
    <r>
      <t xml:space="preserve">  80 </t>
    </r>
    <r>
      <rPr>
        <vertAlign val="superscript"/>
        <sz val="12"/>
        <rFont val="Arial"/>
        <family val="2"/>
      </rPr>
      <t>100мп</t>
    </r>
  </si>
  <si>
    <r>
      <t xml:space="preserve">  60 </t>
    </r>
    <r>
      <rPr>
        <vertAlign val="superscript"/>
        <sz val="12"/>
        <rFont val="Arial"/>
        <family val="2"/>
      </rPr>
      <t>100мп</t>
    </r>
  </si>
  <si>
    <r>
      <t xml:space="preserve">120  </t>
    </r>
    <r>
      <rPr>
        <vertAlign val="superscript"/>
        <sz val="12"/>
        <rFont val="Arial"/>
        <family val="2"/>
      </rPr>
      <t>50мп</t>
    </r>
  </si>
  <si>
    <r>
      <t xml:space="preserve">100  </t>
    </r>
    <r>
      <rPr>
        <vertAlign val="superscript"/>
        <sz val="12"/>
        <rFont val="Arial"/>
        <family val="2"/>
      </rPr>
      <t>50мп</t>
    </r>
  </si>
  <si>
    <t>белая</t>
  </si>
  <si>
    <t>стабил.</t>
  </si>
  <si>
    <r>
      <t xml:space="preserve">1.5м </t>
    </r>
    <r>
      <rPr>
        <sz val="8"/>
        <rFont val="Arial"/>
        <family val="2"/>
      </rPr>
      <t xml:space="preserve">(рукав/полурукав) </t>
    </r>
  </si>
  <si>
    <r>
      <t xml:space="preserve">3.0м </t>
    </r>
    <r>
      <rPr>
        <sz val="8"/>
        <rFont val="Arial"/>
        <family val="2"/>
      </rPr>
      <t>(рукав/полурукав)</t>
    </r>
  </si>
  <si>
    <t>Закуп. ШТ</t>
  </si>
  <si>
    <t>Плёнка тепличная многосезонная (г.Десногорск)</t>
  </si>
  <si>
    <t xml:space="preserve">Плёнка тепличная, рукав    Ст 1.5м/150мкм/100мп (36мес.) </t>
  </si>
  <si>
    <t>Плёнка тепличная, рукав    Ст 3.0м/150мкм/050мп (36мес.)</t>
  </si>
  <si>
    <t xml:space="preserve">Плёнка тепличная, рукав    Ст 3.0м/150мкм/050мп (72мес.) </t>
  </si>
  <si>
    <t>Зак. Рул.</t>
  </si>
  <si>
    <t>Плёнка тепличная, рукав    Ст 2.0м/150мкм/050мп (36мес.)</t>
  </si>
  <si>
    <t>Изолтекс НГ, 1.5м, (75м)</t>
  </si>
  <si>
    <t>Изолтекс ФАС, 1.6м, (80м2)</t>
  </si>
  <si>
    <t>Изолтекс ПАР, 1.6м, (80м2)</t>
  </si>
  <si>
    <t>Клипса для крепления тепличной плёнки</t>
  </si>
  <si>
    <t>длина, М</t>
  </si>
  <si>
    <t>Пласт. комплект ПВХ (замок + зажим), 3м.п.</t>
  </si>
  <si>
    <t>Основание клипсы ОДИНАРНОЕ, алюм/оцинк, 3м.п.</t>
  </si>
  <si>
    <t>Основание клипсы ДВОЙНОЕ, алюм., 3м.п.</t>
  </si>
  <si>
    <t>руб./профиль</t>
  </si>
  <si>
    <r>
      <t>Плёнка в/пуз.   Д75   0.4м х 5м.п.   (</t>
    </r>
    <r>
      <rPr>
        <sz val="10"/>
        <rFont val="Arial Cyr"/>
        <family val="0"/>
      </rPr>
      <t>Ø10/h4), 2 слоя</t>
    </r>
  </si>
  <si>
    <r>
      <t>Плёнка в/пуз. Т113   1.2м х 5м.п.   (</t>
    </r>
    <r>
      <rPr>
        <sz val="10"/>
        <rFont val="Arial Cyr"/>
        <family val="0"/>
      </rPr>
      <t>Ø10/h4), 3 слоя</t>
    </r>
  </si>
  <si>
    <r>
      <t>Плёнка в/пуз. Т148   1.5м х 50м.п.   (</t>
    </r>
    <r>
      <rPr>
        <sz val="10"/>
        <rFont val="Arial Cyr"/>
        <family val="0"/>
      </rPr>
      <t>Ø10/h4)</t>
    </r>
  </si>
  <si>
    <r>
      <t>Плёнка в/пуз. Т148   1.5м х 50м.п.   (</t>
    </r>
    <r>
      <rPr>
        <sz val="10"/>
        <rFont val="Arial Cyr"/>
        <family val="0"/>
      </rPr>
      <t>Ø25/h8)</t>
    </r>
  </si>
  <si>
    <r>
      <t>Плёнка в/пуз. Т183   1.5м х 50м.п.   (</t>
    </r>
    <r>
      <rPr>
        <sz val="10"/>
        <rFont val="Arial Cyr"/>
        <family val="0"/>
      </rPr>
      <t>Ø10/h4)</t>
    </r>
  </si>
  <si>
    <r>
      <t>Плёнка в/пуз. Т183   1.5м х 50м.п.   (</t>
    </r>
    <r>
      <rPr>
        <sz val="10"/>
        <rFont val="Arial Cyr"/>
        <family val="0"/>
      </rPr>
      <t>Ø25/h8)</t>
    </r>
  </si>
  <si>
    <t>Сетка шпалерная (фасовка)</t>
  </si>
  <si>
    <t>Ф-170/2.0/500</t>
  </si>
  <si>
    <t>ФУ-50/4/10</t>
  </si>
  <si>
    <t>ФУ-50/4/50</t>
  </si>
  <si>
    <t>Сетка для притен. (с люверсами)</t>
  </si>
  <si>
    <t>Сетка для притен. (усиленный край)</t>
  </si>
  <si>
    <t>4*10</t>
  </si>
  <si>
    <t>4*50</t>
  </si>
  <si>
    <r>
      <t>Пластиковые сетки и решётки "Славрос"</t>
    </r>
    <r>
      <rPr>
        <sz val="20"/>
        <rFont val="Calibri"/>
        <family val="2"/>
      </rPr>
      <t>®</t>
    </r>
  </si>
  <si>
    <r>
      <t>Пластиковые сетки и решётки "Славрос"</t>
    </r>
    <r>
      <rPr>
        <sz val="20"/>
        <rFont val="Calibri"/>
        <family val="2"/>
      </rPr>
      <t>®</t>
    </r>
    <r>
      <rPr>
        <sz val="20"/>
        <rFont val="Arial Cyr"/>
        <family val="0"/>
      </rPr>
      <t xml:space="preserve"> (Эконом)</t>
    </r>
  </si>
  <si>
    <t>Лопаты (г.Ревякино) / Черенки</t>
  </si>
  <si>
    <t>С-35-2/10</t>
  </si>
  <si>
    <t>С-35-2/25</t>
  </si>
  <si>
    <t>"Газон-2" 2*30 м. (зелёный)</t>
  </si>
  <si>
    <t>Заборная решетка   2*30 м. (хаки)</t>
  </si>
  <si>
    <r>
      <t xml:space="preserve">  40 </t>
    </r>
    <r>
      <rPr>
        <vertAlign val="superscript"/>
        <sz val="12"/>
        <rFont val="Arial"/>
        <family val="2"/>
      </rPr>
      <t>100мп</t>
    </r>
  </si>
  <si>
    <r>
      <t xml:space="preserve">Садовая решётка 15*15 </t>
    </r>
    <r>
      <rPr>
        <sz val="10"/>
        <rFont val="Calibri"/>
        <family val="2"/>
      </rPr>
      <t>◊ (зел/хаки)</t>
    </r>
  </si>
  <si>
    <t>0.75*20</t>
  </si>
  <si>
    <t>Садовая решётка 17*17 ◊ (зел/хаки)</t>
  </si>
  <si>
    <t>0.9*20</t>
  </si>
  <si>
    <t>Садовая решётка 13*13 ◊ (зел/хаки)</t>
  </si>
  <si>
    <r>
      <t xml:space="preserve">Садовая решётка 15*15 </t>
    </r>
    <r>
      <rPr>
        <sz val="10"/>
        <rFont val="Calibri"/>
        <family val="2"/>
      </rPr>
      <t>□</t>
    </r>
    <r>
      <rPr>
        <sz val="10"/>
        <rFont val="Arial"/>
        <family val="2"/>
      </rPr>
      <t xml:space="preserve"> (зел/хаки)</t>
    </r>
  </si>
  <si>
    <t>Изолтекс - А, 1.6м (60м2)</t>
  </si>
  <si>
    <r>
      <t xml:space="preserve">Садовая решётка 15*15 </t>
    </r>
    <r>
      <rPr>
        <sz val="10"/>
        <rFont val="Calibri"/>
        <family val="2"/>
      </rPr>
      <t>□</t>
    </r>
    <r>
      <rPr>
        <sz val="10"/>
        <rFont val="Arial"/>
        <family val="2"/>
      </rPr>
      <t xml:space="preserve"> (ж/о/с/г/к/ф)    Эконом</t>
    </r>
  </si>
  <si>
    <r>
      <t xml:space="preserve">Садовая решётка 50*50 </t>
    </r>
    <r>
      <rPr>
        <sz val="10"/>
        <rFont val="Calibri"/>
        <family val="2"/>
      </rPr>
      <t>□</t>
    </r>
    <r>
      <rPr>
        <sz val="10"/>
        <rFont val="Arial"/>
        <family val="2"/>
      </rPr>
      <t xml:space="preserve"> (зел/хаки)</t>
    </r>
  </si>
  <si>
    <r>
      <t xml:space="preserve">Садовая решётка 83*83 </t>
    </r>
    <r>
      <rPr>
        <sz val="10"/>
        <rFont val="Calibri"/>
        <family val="2"/>
      </rPr>
      <t>□</t>
    </r>
    <r>
      <rPr>
        <sz val="10"/>
        <rFont val="Arial"/>
        <family val="2"/>
      </rPr>
      <t xml:space="preserve"> (зел/хаки)</t>
    </r>
  </si>
  <si>
    <r>
      <t xml:space="preserve">Садовая решётка 25*25 </t>
    </r>
    <r>
      <rPr>
        <sz val="10"/>
        <rFont val="Calibri"/>
        <family val="2"/>
      </rPr>
      <t>◊</t>
    </r>
    <r>
      <rPr>
        <sz val="10"/>
        <rFont val="Arial"/>
        <family val="2"/>
      </rPr>
      <t xml:space="preserve"> (зел/хаки)</t>
    </r>
  </si>
  <si>
    <r>
      <t xml:space="preserve">Садовая решётка 15*15 </t>
    </r>
    <r>
      <rPr>
        <sz val="10"/>
        <rFont val="Calibri"/>
        <family val="2"/>
      </rPr>
      <t>◊</t>
    </r>
    <r>
      <rPr>
        <sz val="10"/>
        <rFont val="Arial"/>
        <family val="2"/>
      </rPr>
      <t xml:space="preserve"> (зел/хаки)</t>
    </r>
  </si>
  <si>
    <t>1.2*20</t>
  </si>
  <si>
    <r>
      <t xml:space="preserve">Садовая решётка 40*40 </t>
    </r>
    <r>
      <rPr>
        <sz val="10"/>
        <rFont val="Calibri"/>
        <family val="2"/>
      </rPr>
      <t>◊</t>
    </r>
    <r>
      <rPr>
        <sz val="10"/>
        <rFont val="Arial"/>
        <family val="2"/>
      </rPr>
      <t xml:space="preserve"> (зел/хаки)</t>
    </r>
  </si>
  <si>
    <t>Заборная решётка 1.5,   15*15   (зел/хаки)</t>
  </si>
  <si>
    <t>1.5*20</t>
  </si>
  <si>
    <t>Заборная решётка 1.5,   18*18   (зел/хаки)</t>
  </si>
  <si>
    <t>1.5*25</t>
  </si>
  <si>
    <t>Заборная решётка 1.5,   20*20   (зел/хаки)</t>
  </si>
  <si>
    <t>Заборная решётка 1.5,   40*40   (зел/хаки)</t>
  </si>
  <si>
    <t>Заборная решётка 1.5,   55*55   (зел/хаки)</t>
  </si>
  <si>
    <t>Заборная решётка 1.8,   23*23   (зел/хаки)</t>
  </si>
  <si>
    <t>1.8*25</t>
  </si>
  <si>
    <t>Заборная решётка 1.8,   45*45   (зел/хаки)</t>
  </si>
  <si>
    <t>Заборная решётка 1.8,   60*60   (зел/хаки)</t>
  </si>
  <si>
    <t>Заборная решётка 2.0,   50*50   (зел/хаки)</t>
  </si>
  <si>
    <t>Садовые и заборные решётки</t>
  </si>
  <si>
    <t>Садовая / заборная решётка (ячейка, мм*мм)</t>
  </si>
  <si>
    <r>
      <t xml:space="preserve">Садовая решётка 15*15 </t>
    </r>
    <r>
      <rPr>
        <sz val="10"/>
        <rFont val="Calibri"/>
        <family val="2"/>
      </rPr>
      <t>□</t>
    </r>
    <r>
      <rPr>
        <sz val="10"/>
        <rFont val="Arial"/>
        <family val="2"/>
      </rPr>
      <t xml:space="preserve"> (черный)         Эконом</t>
    </r>
  </si>
  <si>
    <t>Клипса для плёнки (одинарн. аллюм. осн. + зажим + замок), 3 м.п.</t>
  </si>
  <si>
    <t>Клипса для плёнки (одинарн. оцинк. осн. + зажим + замок), 3 м.п.</t>
  </si>
  <si>
    <t>Клипса для плёнки (двойное аллюм. осн. + зажим + замок), 3 м.п.</t>
  </si>
  <si>
    <t>4*6</t>
  </si>
  <si>
    <t>ФУ-80/4/6</t>
  </si>
  <si>
    <t>ФУ-80/4/50</t>
  </si>
  <si>
    <t>Фасад - 30</t>
  </si>
  <si>
    <t>Фасад - 60</t>
  </si>
  <si>
    <t>Фасад - 72</t>
  </si>
  <si>
    <t>ФУ-80/3/4</t>
  </si>
  <si>
    <t>3*4</t>
  </si>
  <si>
    <t>Посуда оцинкованная "Метид" (г.Днепропетровск)</t>
  </si>
  <si>
    <t>Ванна оцинкованная  100л.</t>
  </si>
  <si>
    <t>Ванна оцинкованная    75л.</t>
  </si>
  <si>
    <t>Ванна оцинкованная  120л.</t>
  </si>
  <si>
    <t>Таз оцинкованный кр.   13л.</t>
  </si>
  <si>
    <t>Таз оцинкованный ов.   27л.</t>
  </si>
  <si>
    <t>Корыто оцинкованное   50л.</t>
  </si>
  <si>
    <t>Ведро оцинкованное    12л.</t>
  </si>
  <si>
    <t>Ведро оцинкованное      7л.</t>
  </si>
  <si>
    <t>Ведро оцинкованное      5л.</t>
  </si>
  <si>
    <t>Бак оцинкованный д/б  32л.</t>
  </si>
  <si>
    <t>Ведро оцинкованное    15л.</t>
  </si>
  <si>
    <t>Укрытия для пирамидальных растений "Зимний сад"</t>
  </si>
  <si>
    <t>Укрытия для шаровидных растений "Зимний сад"</t>
  </si>
  <si>
    <t>Укрытия для роз "Зимний сад"</t>
  </si>
  <si>
    <t>2.0м</t>
  </si>
  <si>
    <t>1.2м</t>
  </si>
  <si>
    <t>1.8м</t>
  </si>
  <si>
    <t>1.0м</t>
  </si>
  <si>
    <t>0.8м</t>
  </si>
  <si>
    <t>Закупка -15%</t>
  </si>
  <si>
    <t>Тент "Тарпаулин",  20м х 30м, 120 г/м2, зелёный</t>
  </si>
  <si>
    <t>Тент "Тарпаулин",  10м х 15м, 180 г/м2, синий</t>
  </si>
  <si>
    <t>Тент "Тарпаулин",  10м х 20м, 180 г/м2, синий</t>
  </si>
  <si>
    <t>Тент "Тарпаулин",  15м х 15м, 180 г/м2, синий</t>
  </si>
  <si>
    <t>Тент "Тарпаулин",  15м х 20м, 180 г/м2, синий</t>
  </si>
  <si>
    <t>Тент "Тарпаулин",  20м х 20м, 180 г/м2, синий</t>
  </si>
  <si>
    <t>Тент "Тарпаулин",  20м х 30м, 180 г/м2, синий</t>
  </si>
  <si>
    <t>(863) 209.8.555</t>
  </si>
  <si>
    <t>info@agrohoztorg.ru</t>
  </si>
  <si>
    <r>
      <t>Укрывной материал "Агроспан"</t>
    </r>
    <r>
      <rPr>
        <vertAlign val="superscript"/>
        <sz val="14"/>
        <rFont val="Calibri"/>
        <family val="2"/>
      </rPr>
      <t>®</t>
    </r>
    <r>
      <rPr>
        <sz val="20"/>
        <rFont val="Calibri"/>
        <family val="2"/>
      </rPr>
      <t xml:space="preserve"> (фасованный)</t>
    </r>
  </si>
  <si>
    <r>
      <t>Садовый геотекстиль ГЕОСАД</t>
    </r>
    <r>
      <rPr>
        <vertAlign val="superscript"/>
        <sz val="14"/>
        <rFont val="Calibri"/>
        <family val="2"/>
      </rPr>
      <t>®</t>
    </r>
  </si>
  <si>
    <r>
      <t>Плёнка армированная "Folinet"</t>
    </r>
    <r>
      <rPr>
        <vertAlign val="superscript"/>
        <sz val="14"/>
        <rFont val="Calibri"/>
        <family val="2"/>
      </rPr>
      <t>®</t>
    </r>
    <r>
      <rPr>
        <sz val="20"/>
        <rFont val="Calibri"/>
        <family val="2"/>
      </rPr>
      <t xml:space="preserve"> (Корея) - в рулонах</t>
    </r>
  </si>
  <si>
    <r>
      <t>Плёнка армированная "Folinet"</t>
    </r>
    <r>
      <rPr>
        <vertAlign val="superscript"/>
        <sz val="14"/>
        <rFont val="Calibri"/>
        <family val="2"/>
      </rPr>
      <t>®</t>
    </r>
    <r>
      <rPr>
        <sz val="20"/>
        <rFont val="Calibri"/>
        <family val="2"/>
      </rPr>
      <t xml:space="preserve"> (Корея) - фасованная</t>
    </r>
  </si>
  <si>
    <r>
      <t>Плёнка воздушно-пузырчатая "Оазис"</t>
    </r>
    <r>
      <rPr>
        <vertAlign val="superscript"/>
        <sz val="14"/>
        <rFont val="Calibri"/>
        <family val="2"/>
      </rPr>
      <t>®</t>
    </r>
    <r>
      <rPr>
        <sz val="20"/>
        <rFont val="Calibri"/>
        <family val="2"/>
      </rPr>
      <t xml:space="preserve"> (Для теплиц)</t>
    </r>
  </si>
  <si>
    <t>Плёнка воздушно-пузырчатая "Упакуйка" (Для упаковки)</t>
  </si>
  <si>
    <t>Строительные мембраны ИЗОЛТЕКС®</t>
  </si>
  <si>
    <r>
      <t>Тенты "Тарпаулин"</t>
    </r>
    <r>
      <rPr>
        <vertAlign val="superscript"/>
        <sz val="14"/>
        <rFont val="Calibri"/>
        <family val="2"/>
      </rPr>
      <t>®</t>
    </r>
    <r>
      <rPr>
        <sz val="20"/>
        <rFont val="Calibri"/>
        <family val="2"/>
      </rPr>
      <t xml:space="preserve"> (Корея)</t>
    </r>
  </si>
  <si>
    <t>м2 в рулоне</t>
  </si>
  <si>
    <t>руб/м2</t>
  </si>
  <si>
    <t>Сезонность / ширина / толщина / намотка / вес / добавки</t>
  </si>
  <si>
    <t>20 см.куб</t>
  </si>
  <si>
    <t>88 см.куб</t>
  </si>
  <si>
    <t>35 см.куб</t>
  </si>
  <si>
    <t>50 см.куб</t>
  </si>
  <si>
    <t>6mil*20см*2500мп</t>
  </si>
  <si>
    <t>Капельная лента pro drip (Турция)</t>
  </si>
  <si>
    <t xml:space="preserve">    Подойник из пищевой жести 12л.</t>
  </si>
  <si>
    <t>Ведро оцинкованное    9л.</t>
  </si>
  <si>
    <t>Укрытия для растений "Зимний сад"</t>
  </si>
  <si>
    <t>Агроткань для мульчирования</t>
  </si>
  <si>
    <t xml:space="preserve">Геотекстиль-Мульча 100г/м2, ширина 3м х 100м.п. </t>
  </si>
  <si>
    <t xml:space="preserve">Геотекстиль-Мульча 100г/м2, ширина 4м х 100м.п. </t>
  </si>
  <si>
    <t xml:space="preserve">Геотекстиль-Мульча 130г/м2, ширина 3м х 100м.п. </t>
  </si>
  <si>
    <t xml:space="preserve">Геотекстиль-Мульча 130г/м2, ширина 4м х 100м.п. </t>
  </si>
  <si>
    <t>Парник дачный "Гармошка"</t>
  </si>
  <si>
    <t>Наименование / размер</t>
  </si>
  <si>
    <t xml:space="preserve">    Парник "Гармошка"  3м  (1.1м*0.8м)</t>
  </si>
  <si>
    <t xml:space="preserve">    Парник "Гармошка"  4м  (1.1м*0.8м)</t>
  </si>
  <si>
    <t xml:space="preserve">    Парник "Гармошка"  6м  (1.1м*0.8м)</t>
  </si>
  <si>
    <t xml:space="preserve">               Закупка </t>
  </si>
  <si>
    <t>Кассеты для рассады</t>
  </si>
  <si>
    <t>4к Коношенко</t>
  </si>
  <si>
    <t>Наша цена</t>
  </si>
  <si>
    <t xml:space="preserve">    Кассета № 15 Клубника</t>
  </si>
  <si>
    <t xml:space="preserve">    Кассета № 24 Петунья</t>
  </si>
  <si>
    <t xml:space="preserve">    Кассета № 256 </t>
  </si>
  <si>
    <t xml:space="preserve">    Поддон для кассеты 400х400</t>
  </si>
  <si>
    <t xml:space="preserve">    Кассета № 49 Финский стандарт</t>
  </si>
  <si>
    <t xml:space="preserve">    Кассета № 50 Израильский стандарт</t>
  </si>
  <si>
    <t xml:space="preserve">    Кассета № 54 Немецкий стандарт</t>
  </si>
  <si>
    <t xml:space="preserve">    Кассета № 64 Финский стандарт</t>
  </si>
  <si>
    <t xml:space="preserve">    Кассета № 90 Финский стандарт </t>
  </si>
  <si>
    <t xml:space="preserve">    Кассета № 144 Финский стандарт</t>
  </si>
  <si>
    <t xml:space="preserve">    Стаканы для рассады</t>
  </si>
  <si>
    <r>
      <t>Плёнка армированная "Folinet"</t>
    </r>
    <r>
      <rPr>
        <vertAlign val="superscript"/>
        <sz val="14"/>
        <rFont val="Calibri"/>
        <family val="2"/>
      </rPr>
      <t>®</t>
    </r>
    <r>
      <rPr>
        <sz val="20"/>
        <rFont val="Calibri"/>
        <family val="2"/>
      </rPr>
      <t xml:space="preserve"> (Корея) - в рулонах</t>
    </r>
  </si>
  <si>
    <r>
      <t>Плёнка армированная "Folinet"</t>
    </r>
    <r>
      <rPr>
        <vertAlign val="superscript"/>
        <sz val="14"/>
        <rFont val="Calibri"/>
        <family val="2"/>
      </rPr>
      <t>®</t>
    </r>
    <r>
      <rPr>
        <sz val="20"/>
        <rFont val="Calibri"/>
        <family val="2"/>
      </rPr>
      <t xml:space="preserve"> (Корея) - фасованная</t>
    </r>
  </si>
  <si>
    <t xml:space="preserve">Универс. пароизоляция </t>
  </si>
  <si>
    <r>
      <t xml:space="preserve">Тенты </t>
    </r>
    <r>
      <rPr>
        <sz val="20"/>
        <rFont val="Calibri"/>
        <family val="2"/>
      </rPr>
      <t>(Китай)</t>
    </r>
  </si>
  <si>
    <t xml:space="preserve">Тент (Китай), зелёный, плотн. 120г/м2, с люверсами по периметру ч/з 1 метр. </t>
  </si>
  <si>
    <t xml:space="preserve">Тент (Китай), синий, плотн. 120г/м2, с люверсами по периметру ч/з 1 метр. </t>
  </si>
  <si>
    <t>Тент "Тарпаулин",    2м х 3м, 120 г/м2, синий</t>
  </si>
  <si>
    <t>Тент "Тарпаулин",    3м х 4м, 120 г/м2, синий</t>
  </si>
  <si>
    <t>Тент "Тарпаулин",    3м х 6м, 120 г/м2, синий</t>
  </si>
  <si>
    <t>Тент "Тарпаулин",    4м х 5м, 120 г/м2, синий</t>
  </si>
  <si>
    <t>Тент "Тарпаулин",    4м х 6м, 120 г/м2, синий</t>
  </si>
  <si>
    <t>Тент "Тарпаулин",    4м х 8м, 120 г/м2, синий</t>
  </si>
  <si>
    <t>Тент "Тарпаулин",    5м х 6м, 120 г/м2, синий</t>
  </si>
  <si>
    <t>Тент "Тарпаулин",    6м х 8м, 120 г/м2, синий</t>
  </si>
  <si>
    <t>Тент "Тарпаулин",    6м х 10м, 120 г/м2, синий</t>
  </si>
  <si>
    <t>Тент "Тарпаулин",    8м х 12м, 120 г/м2, синий</t>
  </si>
  <si>
    <t>Тент "Тарпаулин",  10м х 15м, 120 г/м2, синий</t>
  </si>
  <si>
    <t>Тент "Тарпаулин",  10м х 20м, 120 г/м2, синий</t>
  </si>
  <si>
    <t>Тент "Тарпаулин",  15м х 15м, 120 г/м2, синий</t>
  </si>
  <si>
    <t>Тент "Тарпаулин",  15м х 20м, 120 г/м2, синий</t>
  </si>
  <si>
    <t>Тент "Тарпаулин",  20м х 20м, 120 г/м2, синий</t>
  </si>
  <si>
    <r>
      <t>Тенты "Тарпаулин"</t>
    </r>
    <r>
      <rPr>
        <vertAlign val="superscript"/>
        <sz val="14"/>
        <rFont val="Calibri"/>
        <family val="2"/>
      </rPr>
      <t>®</t>
    </r>
    <r>
      <rPr>
        <sz val="20"/>
        <rFont val="Calibri"/>
        <family val="2"/>
      </rPr>
      <t xml:space="preserve"> (Корея)</t>
    </r>
  </si>
  <si>
    <t>Дата последнего обновления - 08.12.2014г.</t>
  </si>
  <si>
    <t xml:space="preserve">    Поддон для кассеты 660х330</t>
  </si>
  <si>
    <t>Сетка фасадная 35г/м2</t>
  </si>
  <si>
    <t>Базовая Аяском -12%</t>
  </si>
  <si>
    <t>70 фактическая</t>
  </si>
  <si>
    <t>3,4руб/м2</t>
  </si>
  <si>
    <t>6mil*30см*2500мп</t>
  </si>
  <si>
    <t>Послед. цены</t>
  </si>
  <si>
    <t>Геотекстиль Геосад - 100, 1.6м*50м   (80м2)</t>
  </si>
  <si>
    <t>Геотекстиль Геосад - 150, 1.6м*50м   (80м2)</t>
  </si>
  <si>
    <t>Дата последнего обновления - 24.08.2015г.</t>
  </si>
  <si>
    <t>12m  100мкм / 50м.п. / 62кг / 12-24 UV EVA LD AF</t>
  </si>
  <si>
    <t>12m  150мкм / 50м.п. / 96кг / 24-36 UV EVA LD AF</t>
  </si>
  <si>
    <t>12m  120мкм / 50м.п. / 77кг / 12-24 UV EVA LD AF</t>
  </si>
  <si>
    <t>12m  180мкм / 50м.п. / 109кг / 36-60  UV EVA LD AF</t>
  </si>
  <si>
    <t>12m  200мкм / 50м.п. / 115кг / 36-60 UV EVA LD AF</t>
  </si>
  <si>
    <t>12m  180мкм / 50м.п. / 109кг / 36-60 UV EVA LD AF</t>
  </si>
  <si>
    <t>12m  100мкм / 50м.п. / 65кг / 12-24 UV EVA LD AF</t>
  </si>
  <si>
    <t>Плёнка полиэтиленовая, Vural Plastik, Турция (ширина - 12 м., 3 слоя)</t>
  </si>
  <si>
    <t>Это Закупка</t>
  </si>
  <si>
    <t>Дата последнего обновления - 11.12.2015г.</t>
  </si>
  <si>
    <t>На курс 75 руб.</t>
  </si>
  <si>
    <t>На курс 75руб./доллар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</si>
</sst>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__\m\k\m"/>
    <numFmt numFmtId="190" formatCode="#,##0_р_."/>
    <numFmt numFmtId="191" formatCode="_-* #,##0.0&quot;р.&quot;_-;\-* #,##0.0&quot;р.&quot;_-;_-* &quot;-&quot;&quot;р.&quot;_-;_-@_-"/>
    <numFmt numFmtId="192" formatCode="_-* #,##0.00&quot;р.&quot;_-;\-* #,##0.00&quot;р.&quot;_-;_-* &quot;-&quot;&quot;р.&quot;_-;_-@_-"/>
    <numFmt numFmtId="193" formatCode="0.000"/>
    <numFmt numFmtId="194" formatCode="#,##0.00_р_."/>
    <numFmt numFmtId="195" formatCode="#,##0.0"/>
    <numFmt numFmtId="196" formatCode="#,##0.0_р_."/>
    <numFmt numFmtId="197" formatCode="0.0000"/>
    <numFmt numFmtId="198" formatCode="#,##0;[Red]#,##0"/>
    <numFmt numFmtId="199" formatCode="#,##0.00&quot;р.&quot;"/>
    <numFmt numFmtId="200" formatCode="#,##0&quot;р.&quot;"/>
    <numFmt numFmtId="201" formatCode="dd/mm/yy;@"/>
    <numFmt numFmtId="202" formatCode="0.00000000"/>
    <numFmt numFmtId="203" formatCode="0.0000000"/>
    <numFmt numFmtId="204" formatCode="0.000000"/>
    <numFmt numFmtId="205" formatCode="0.00000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_-[$$-409]* #,##0.00_ ;_-[$$-409]* \-#,##0.00\ ;_-[$$-409]* &quot;-&quot;??_ ;_-@_ "/>
    <numFmt numFmtId="215" formatCode="#,##0_ ;\-#,##0\ "/>
    <numFmt numFmtId="216" formatCode="_-* #,##0.0_р_._-;\-* #,##0.0_р_._-;_-* &quot;-&quot;?_р_._-;_-@_-"/>
    <numFmt numFmtId="217" formatCode="#,##0.00_ ;\-#,##0.00\ "/>
    <numFmt numFmtId="218" formatCode="_-* #,##0.0_р_._-;\-* #,##0.0_р_._-;_-* &quot;-&quot;_р_._-;_-@_-"/>
    <numFmt numFmtId="219" formatCode="#,##0.000_р_."/>
    <numFmt numFmtId="220" formatCode="_-* #,##0.00[$р.-419]_-;\-* #,##0.00[$р.-419]_-;_-* &quot;-&quot;??[$р.-419]_-;_-@_-"/>
  </numFmts>
  <fonts count="8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6"/>
      <name val="Comic Sans MS"/>
      <family val="4"/>
    </font>
    <font>
      <b/>
      <sz val="18"/>
      <name val="Arial"/>
      <family val="2"/>
    </font>
    <font>
      <sz val="10"/>
      <name val="Times New Roman Cyr"/>
      <family val="1"/>
    </font>
    <font>
      <sz val="9"/>
      <name val="Arial"/>
      <family val="2"/>
    </font>
    <font>
      <u val="single"/>
      <sz val="10"/>
      <color indexed="12"/>
      <name val="Arial Cyr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8"/>
      <color indexed="9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20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Times New Roman Cyr"/>
      <family val="1"/>
    </font>
    <font>
      <b/>
      <sz val="24"/>
      <name val="Comic Sans MS"/>
      <family val="4"/>
    </font>
    <font>
      <sz val="36"/>
      <name val="Arial"/>
      <family val="2"/>
    </font>
    <font>
      <b/>
      <sz val="10"/>
      <color indexed="63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26"/>
      <name val="Arial"/>
      <family val="2"/>
    </font>
    <font>
      <vertAlign val="subscript"/>
      <sz val="12"/>
      <name val="Arial"/>
      <family val="2"/>
    </font>
    <font>
      <b/>
      <sz val="8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18"/>
      <name val="Tahoma"/>
      <family val="2"/>
    </font>
    <font>
      <sz val="20"/>
      <name val="Arial Cyr"/>
      <family val="0"/>
    </font>
    <font>
      <sz val="11"/>
      <name val="Calibri"/>
      <family val="2"/>
    </font>
    <font>
      <sz val="20"/>
      <name val="Calibri"/>
      <family val="2"/>
    </font>
    <font>
      <vertAlign val="superscript"/>
      <sz val="12"/>
      <name val="Arial"/>
      <family val="2"/>
    </font>
    <font>
      <sz val="10"/>
      <name val="Calibri"/>
      <family val="2"/>
    </font>
    <font>
      <vertAlign val="superscript"/>
      <sz val="14"/>
      <name val="Calibri"/>
      <family val="2"/>
    </font>
    <font>
      <sz val="11"/>
      <name val="Tahoma"/>
      <family val="2"/>
    </font>
    <font>
      <sz val="11"/>
      <name val="Arial"/>
      <family val="2"/>
    </font>
    <font>
      <sz val="14"/>
      <name val="Arial"/>
      <family val="2"/>
    </font>
    <font>
      <b/>
      <sz val="28"/>
      <name val="Comic Sans MS"/>
      <family val="4"/>
    </font>
    <font>
      <b/>
      <sz val="28"/>
      <name val="Arial"/>
      <family val="2"/>
    </font>
    <font>
      <sz val="28"/>
      <name val="Arial"/>
      <family val="2"/>
    </font>
    <font>
      <sz val="28"/>
      <name val="Times New Roman Cyr"/>
      <family val="1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24"/>
      <name val="Calibri"/>
      <family val="2"/>
    </font>
    <font>
      <sz val="12"/>
      <color indexed="10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1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medium"/>
      <right style="medium">
        <color indexed="22"/>
      </right>
      <top style="medium"/>
      <bottom style="medium">
        <color indexed="8"/>
      </bottom>
    </border>
    <border>
      <left style="medium">
        <color indexed="22"/>
      </left>
      <right style="medium">
        <color indexed="22"/>
      </right>
      <top style="medium"/>
      <bottom style="medium">
        <color indexed="8"/>
      </bottom>
    </border>
    <border>
      <left style="medium">
        <color indexed="22"/>
      </left>
      <right style="medium"/>
      <top style="medium"/>
      <bottom style="medium">
        <color indexed="8"/>
      </bottom>
    </border>
    <border>
      <left style="medium"/>
      <right style="medium">
        <color indexed="22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/>
      <right style="medium">
        <color indexed="22"/>
      </right>
      <top style="medium">
        <color indexed="8"/>
      </top>
      <bottom style="medium"/>
    </border>
    <border>
      <left style="medium">
        <color indexed="22"/>
      </left>
      <right style="medium">
        <color indexed="22"/>
      </right>
      <top style="medium">
        <color indexed="8"/>
      </top>
      <bottom style="medium"/>
    </border>
    <border>
      <left style="medium">
        <color indexed="22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78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68" fontId="6" fillId="0" borderId="10" xfId="0" applyNumberFormat="1" applyFont="1" applyFill="1" applyBorder="1" applyAlignment="1">
      <alignment/>
    </xf>
    <xf numFmtId="168" fontId="7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9" fillId="0" borderId="0" xfId="0" applyNumberFormat="1" applyFont="1" applyAlignment="1">
      <alignment vertical="center" wrapText="1"/>
    </xf>
    <xf numFmtId="169" fontId="1" fillId="0" borderId="11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/>
    </xf>
    <xf numFmtId="0" fontId="11" fillId="0" borderId="0" xfId="0" applyFont="1" applyBorder="1" applyAlignment="1" applyProtection="1">
      <alignment/>
      <protection hidden="1" locked="0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vertical="center" wrapText="1"/>
    </xf>
    <xf numFmtId="169" fontId="1" fillId="0" borderId="14" xfId="0" applyNumberFormat="1" applyFont="1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94" fontId="2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2" fillId="22" borderId="21" xfId="0" applyFont="1" applyFill="1" applyBorder="1" applyAlignment="1">
      <alignment horizontal="center" vertical="center"/>
    </xf>
    <xf numFmtId="168" fontId="2" fillId="22" borderId="22" xfId="0" applyNumberFormat="1" applyFont="1" applyFill="1" applyBorder="1" applyAlignment="1">
      <alignment horizontal="center" vertical="center"/>
    </xf>
    <xf numFmtId="169" fontId="1" fillId="0" borderId="23" xfId="0" applyNumberFormat="1" applyFont="1" applyBorder="1" applyAlignment="1">
      <alignment/>
    </xf>
    <xf numFmtId="169" fontId="1" fillId="4" borderId="24" xfId="0" applyNumberFormat="1" applyFont="1" applyFill="1" applyBorder="1" applyAlignment="1">
      <alignment/>
    </xf>
    <xf numFmtId="169" fontId="1" fillId="4" borderId="25" xfId="0" applyNumberFormat="1" applyFont="1" applyFill="1" applyBorder="1" applyAlignment="1">
      <alignment/>
    </xf>
    <xf numFmtId="0" fontId="12" fillId="0" borderId="0" xfId="0" applyFont="1" applyBorder="1" applyAlignment="1">
      <alignment vertical="center" wrapText="1"/>
    </xf>
    <xf numFmtId="0" fontId="2" fillId="22" borderId="0" xfId="0" applyFont="1" applyFill="1" applyBorder="1" applyAlignment="1">
      <alignment horizontal="center"/>
    </xf>
    <xf numFmtId="2" fontId="0" fillId="0" borderId="26" xfId="0" applyNumberForma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/>
    </xf>
    <xf numFmtId="190" fontId="1" fillId="0" borderId="2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center"/>
    </xf>
    <xf numFmtId="190" fontId="1" fillId="0" borderId="20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center"/>
    </xf>
    <xf numFmtId="190" fontId="1" fillId="0" borderId="25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center"/>
    </xf>
    <xf numFmtId="190" fontId="1" fillId="0" borderId="31" xfId="0" applyNumberFormat="1" applyFont="1" applyBorder="1" applyAlignment="1">
      <alignment horizontal="right"/>
    </xf>
    <xf numFmtId="2" fontId="0" fillId="0" borderId="32" xfId="0" applyNumberFormat="1" applyBorder="1" applyAlignment="1">
      <alignment horizontal="center" vertical="center"/>
    </xf>
    <xf numFmtId="16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8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8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8" fontId="14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190" fontId="1" fillId="0" borderId="24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69" fontId="1" fillId="0" borderId="31" xfId="0" applyNumberFormat="1" applyFont="1" applyBorder="1" applyAlignment="1">
      <alignment/>
    </xf>
    <xf numFmtId="169" fontId="1" fillId="4" borderId="37" xfId="0" applyNumberFormat="1" applyFont="1" applyFill="1" applyBorder="1" applyAlignment="1">
      <alignment/>
    </xf>
    <xf numFmtId="196" fontId="2" fillId="0" borderId="19" xfId="0" applyNumberFormat="1" applyFont="1" applyBorder="1" applyAlignment="1">
      <alignment horizontal="right"/>
    </xf>
    <xf numFmtId="196" fontId="2" fillId="0" borderId="33" xfId="0" applyNumberFormat="1" applyFont="1" applyBorder="1" applyAlignment="1">
      <alignment horizontal="right"/>
    </xf>
    <xf numFmtId="196" fontId="2" fillId="0" borderId="30" xfId="0" applyNumberFormat="1" applyFont="1" applyBorder="1" applyAlignment="1">
      <alignment horizontal="right"/>
    </xf>
    <xf numFmtId="0" fontId="4" fillId="0" borderId="13" xfId="56" applyFont="1" applyBorder="1" applyAlignment="1">
      <alignment vertical="center"/>
      <protection/>
    </xf>
    <xf numFmtId="0" fontId="0" fillId="0" borderId="13" xfId="56" applyFont="1" applyBorder="1" applyAlignment="1" applyProtection="1">
      <alignment horizontal="left" vertical="center"/>
      <protection locked="0"/>
    </xf>
    <xf numFmtId="0" fontId="39" fillId="0" borderId="13" xfId="56" applyFont="1" applyBorder="1" applyAlignment="1">
      <alignment horizontal="center" vertical="center"/>
      <protection/>
    </xf>
    <xf numFmtId="0" fontId="40" fillId="0" borderId="13" xfId="56" applyFont="1" applyBorder="1">
      <alignment/>
      <protection/>
    </xf>
    <xf numFmtId="0" fontId="1" fillId="0" borderId="13" xfId="56" applyFont="1" applyBorder="1" applyAlignment="1">
      <alignment horizontal="right" indent="1"/>
      <protection/>
    </xf>
    <xf numFmtId="0" fontId="41" fillId="0" borderId="13" xfId="56" applyFont="1" applyBorder="1" applyAlignment="1">
      <alignment vertical="center"/>
      <protection/>
    </xf>
    <xf numFmtId="0" fontId="0" fillId="0" borderId="13" xfId="56" applyFont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2" fillId="0" borderId="0" xfId="56" applyFont="1" applyBorder="1" applyAlignment="1">
      <alignment vertical="center"/>
      <protection/>
    </xf>
    <xf numFmtId="0" fontId="0" fillId="0" borderId="0" xfId="56" applyFont="1" applyBorder="1" applyAlignment="1" applyProtection="1">
      <alignment horizontal="center" vertical="center"/>
      <protection locked="0"/>
    </xf>
    <xf numFmtId="0" fontId="39" fillId="0" borderId="0" xfId="56" applyFont="1" applyBorder="1" applyAlignment="1">
      <alignment horizontal="center" vertical="center"/>
      <protection/>
    </xf>
    <xf numFmtId="0" fontId="40" fillId="0" borderId="0" xfId="56" applyFont="1" applyBorder="1">
      <alignment/>
      <protection/>
    </xf>
    <xf numFmtId="0" fontId="2" fillId="0" borderId="0" xfId="56" applyFont="1" applyBorder="1" applyAlignment="1">
      <alignment horizontal="right" indent="1"/>
      <protection/>
    </xf>
    <xf numFmtId="0" fontId="0" fillId="0" borderId="0" xfId="56" applyFont="1" applyBorder="1" applyAlignment="1">
      <alignment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/>
      <protection/>
    </xf>
    <xf numFmtId="0" fontId="2" fillId="0" borderId="0" xfId="56" applyFont="1" applyBorder="1" applyAlignment="1">
      <alignment horizontal="left" indent="1"/>
      <protection/>
    </xf>
    <xf numFmtId="0" fontId="6" fillId="0" borderId="0" xfId="56" applyFont="1" applyBorder="1" applyAlignment="1" applyProtection="1">
      <alignment/>
      <protection locked="0"/>
    </xf>
    <xf numFmtId="0" fontId="6" fillId="0" borderId="0" xfId="56" applyFont="1" applyBorder="1" applyAlignment="1">
      <alignment/>
      <protection/>
    </xf>
    <xf numFmtId="0" fontId="19" fillId="0" borderId="0" xfId="56" applyBorder="1">
      <alignment/>
      <protection/>
    </xf>
    <xf numFmtId="0" fontId="19" fillId="0" borderId="0" xfId="56">
      <alignment/>
      <protection/>
    </xf>
    <xf numFmtId="0" fontId="43" fillId="24" borderId="38" xfId="56" applyFont="1" applyFill="1" applyBorder="1" applyAlignment="1">
      <alignment horizontal="center" vertical="center" wrapText="1"/>
      <protection/>
    </xf>
    <xf numFmtId="0" fontId="43" fillId="24" borderId="39" xfId="56" applyFont="1" applyFill="1" applyBorder="1" applyAlignment="1" applyProtection="1">
      <alignment horizontal="center" vertical="center" wrapText="1"/>
      <protection locked="0"/>
    </xf>
    <xf numFmtId="0" fontId="43" fillId="24" borderId="39" xfId="56" applyFont="1" applyFill="1" applyBorder="1" applyAlignment="1">
      <alignment horizontal="center" vertical="center" wrapText="1"/>
      <protection/>
    </xf>
    <xf numFmtId="0" fontId="43" fillId="24" borderId="40" xfId="56" applyFont="1" applyFill="1" applyBorder="1" applyAlignment="1">
      <alignment horizontal="center" vertical="center" wrapText="1"/>
      <protection/>
    </xf>
    <xf numFmtId="0" fontId="0" fillId="0" borderId="0" xfId="56" applyFont="1" applyFill="1">
      <alignment/>
      <protection/>
    </xf>
    <xf numFmtId="0" fontId="0" fillId="0" borderId="41" xfId="56" applyFont="1" applyFill="1" applyBorder="1" applyAlignment="1">
      <alignment vertical="center" wrapText="1"/>
      <protection/>
    </xf>
    <xf numFmtId="0" fontId="25" fillId="0" borderId="42" xfId="43" applyFont="1" applyFill="1" applyBorder="1" applyAlignment="1" applyProtection="1">
      <alignment vertical="center" wrapText="1"/>
      <protection locked="0"/>
    </xf>
    <xf numFmtId="0" fontId="2" fillId="0" borderId="42" xfId="56" applyFont="1" applyFill="1" applyBorder="1" applyAlignment="1">
      <alignment vertical="center" wrapText="1"/>
      <protection/>
    </xf>
    <xf numFmtId="0" fontId="7" fillId="0" borderId="43" xfId="56" applyFont="1" applyFill="1" applyBorder="1" applyAlignment="1">
      <alignment horizontal="center" vertical="center" wrapText="1"/>
      <protection/>
    </xf>
    <xf numFmtId="0" fontId="0" fillId="0" borderId="44" xfId="56" applyFont="1" applyFill="1" applyBorder="1" applyAlignment="1">
      <alignment vertical="center" wrapText="1"/>
      <protection/>
    </xf>
    <xf numFmtId="0" fontId="25" fillId="0" borderId="44" xfId="43" applyFont="1" applyFill="1" applyBorder="1" applyAlignment="1" applyProtection="1">
      <alignment vertical="center" wrapText="1"/>
      <protection locked="0"/>
    </xf>
    <xf numFmtId="0" fontId="2" fillId="0" borderId="44" xfId="56" applyFont="1" applyFill="1" applyBorder="1" applyAlignment="1">
      <alignment vertical="center" wrapText="1"/>
      <protection/>
    </xf>
    <xf numFmtId="0" fontId="7" fillId="0" borderId="44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Alignment="1">
      <alignment/>
      <protection/>
    </xf>
    <xf numFmtId="0" fontId="0" fillId="0" borderId="0" xfId="56" applyFont="1" applyFill="1" applyProtection="1">
      <alignment/>
      <protection locked="0"/>
    </xf>
    <xf numFmtId="0" fontId="2" fillId="0" borderId="0" xfId="56" applyFont="1" applyFill="1">
      <alignment/>
      <protection/>
    </xf>
    <xf numFmtId="0" fontId="43" fillId="24" borderId="45" xfId="56" applyFont="1" applyFill="1" applyBorder="1" applyAlignment="1">
      <alignment horizontal="center" vertical="center" wrapText="1"/>
      <protection/>
    </xf>
    <xf numFmtId="0" fontId="43" fillId="24" borderId="46" xfId="56" applyFont="1" applyFill="1" applyBorder="1" applyAlignment="1" applyProtection="1">
      <alignment horizontal="center" vertical="center" wrapText="1"/>
      <protection locked="0"/>
    </xf>
    <xf numFmtId="0" fontId="43" fillId="24" borderId="46" xfId="56" applyFont="1" applyFill="1" applyBorder="1" applyAlignment="1">
      <alignment horizontal="center" vertical="center" wrapText="1"/>
      <protection/>
    </xf>
    <xf numFmtId="0" fontId="43" fillId="24" borderId="47" xfId="56" applyFont="1" applyFill="1" applyBorder="1" applyAlignment="1">
      <alignment horizontal="center" vertical="center" wrapText="1"/>
      <protection/>
    </xf>
    <xf numFmtId="0" fontId="0" fillId="0" borderId="38" xfId="56" applyFont="1" applyFill="1" applyBorder="1" applyAlignment="1">
      <alignment vertical="center" wrapText="1"/>
      <protection/>
    </xf>
    <xf numFmtId="0" fontId="25" fillId="0" borderId="39" xfId="43" applyFill="1" applyBorder="1" applyAlignment="1" applyProtection="1">
      <alignment vertical="center" wrapText="1"/>
      <protection locked="0"/>
    </xf>
    <xf numFmtId="0" fontId="2" fillId="0" borderId="39" xfId="56" applyFont="1" applyFill="1" applyBorder="1" applyAlignment="1">
      <alignment vertical="center" wrapText="1"/>
      <protection/>
    </xf>
    <xf numFmtId="0" fontId="44" fillId="0" borderId="40" xfId="56" applyFont="1" applyFill="1" applyBorder="1" applyAlignment="1">
      <alignment horizontal="center" vertical="center" wrapText="1"/>
      <protection/>
    </xf>
    <xf numFmtId="0" fontId="25" fillId="0" borderId="42" xfId="43" applyFill="1" applyBorder="1" applyAlignment="1" applyProtection="1">
      <alignment vertical="center" wrapText="1"/>
      <protection locked="0"/>
    </xf>
    <xf numFmtId="0" fontId="44" fillId="0" borderId="43" xfId="56" applyFont="1" applyFill="1" applyBorder="1" applyAlignment="1">
      <alignment horizontal="center" vertical="center" wrapText="1"/>
      <protection/>
    </xf>
    <xf numFmtId="0" fontId="0" fillId="0" borderId="48" xfId="56" applyFont="1" applyFill="1" applyBorder="1" applyAlignment="1">
      <alignment vertical="center" wrapText="1"/>
      <protection/>
    </xf>
    <xf numFmtId="0" fontId="25" fillId="0" borderId="49" xfId="43" applyFill="1" applyBorder="1" applyAlignment="1" applyProtection="1">
      <alignment vertical="center" wrapText="1"/>
      <protection locked="0"/>
    </xf>
    <xf numFmtId="0" fontId="2" fillId="0" borderId="49" xfId="56" applyFont="1" applyFill="1" applyBorder="1" applyAlignment="1">
      <alignment vertical="center" wrapText="1"/>
      <protection/>
    </xf>
    <xf numFmtId="0" fontId="44" fillId="0" borderId="50" xfId="56" applyFont="1" applyFill="1" applyBorder="1" applyAlignment="1">
      <alignment horizontal="center" vertical="center" wrapText="1"/>
      <protection/>
    </xf>
    <xf numFmtId="168" fontId="1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68" fontId="6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 horizontal="right" indent="1"/>
    </xf>
    <xf numFmtId="0" fontId="6" fillId="0" borderId="13" xfId="0" applyFont="1" applyBorder="1" applyAlignment="1">
      <alignment horizontal="left" indent="1"/>
    </xf>
    <xf numFmtId="0" fontId="45" fillId="0" borderId="13" xfId="0" applyFont="1" applyBorder="1" applyAlignment="1">
      <alignment horizontal="left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indent="1"/>
    </xf>
    <xf numFmtId="0" fontId="0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4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 indent="1"/>
    </xf>
    <xf numFmtId="0" fontId="38" fillId="0" borderId="0" xfId="0" applyFont="1" applyAlignment="1">
      <alignment horizontal="right" indent="1"/>
    </xf>
    <xf numFmtId="0" fontId="48" fillId="0" borderId="0" xfId="42" applyFont="1" applyBorder="1" applyAlignment="1" applyProtection="1">
      <alignment horizontal="left" vertical="center" indent="1"/>
      <protection/>
    </xf>
    <xf numFmtId="0" fontId="44" fillId="0" borderId="0" xfId="0" applyFont="1" applyAlignment="1">
      <alignment horizontal="left" indent="1"/>
    </xf>
    <xf numFmtId="0" fontId="49" fillId="0" borderId="0" xfId="42" applyFont="1" applyBorder="1" applyAlignment="1" applyProtection="1">
      <alignment horizontal="left" vertical="center" indent="1"/>
      <protection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8" fontId="0" fillId="0" borderId="15" xfId="0" applyNumberFormat="1" applyBorder="1" applyAlignment="1">
      <alignment horizontal="left" indent="1"/>
    </xf>
    <xf numFmtId="168" fontId="0" fillId="0" borderId="51" xfId="0" applyNumberFormat="1" applyBorder="1" applyAlignment="1">
      <alignment horizontal="left" indent="1"/>
    </xf>
    <xf numFmtId="168" fontId="0" fillId="0" borderId="17" xfId="0" applyNumberFormat="1" applyBorder="1" applyAlignment="1">
      <alignment horizontal="left" indent="1"/>
    </xf>
    <xf numFmtId="194" fontId="2" fillId="0" borderId="33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194" fontId="2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 horizontal="center"/>
    </xf>
    <xf numFmtId="194" fontId="2" fillId="0" borderId="36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190" fontId="1" fillId="0" borderId="53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2" fontId="2" fillId="0" borderId="30" xfId="0" applyNumberFormat="1" applyFont="1" applyFill="1" applyBorder="1" applyAlignment="1">
      <alignment horizontal="center"/>
    </xf>
    <xf numFmtId="169" fontId="1" fillId="0" borderId="31" xfId="0" applyNumberFormat="1" applyFont="1" applyFill="1" applyBorder="1" applyAlignment="1">
      <alignment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194" fontId="2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 horizontal="center"/>
    </xf>
    <xf numFmtId="0" fontId="2" fillId="22" borderId="0" xfId="0" applyFont="1" applyFill="1" applyAlignment="1">
      <alignment horizontal="center"/>
    </xf>
    <xf numFmtId="169" fontId="1" fillId="0" borderId="25" xfId="0" applyNumberFormat="1" applyFont="1" applyFill="1" applyBorder="1" applyAlignment="1">
      <alignment/>
    </xf>
    <xf numFmtId="196" fontId="2" fillId="0" borderId="21" xfId="0" applyNumberFormat="1" applyFont="1" applyBorder="1" applyAlignment="1">
      <alignment horizontal="right"/>
    </xf>
    <xf numFmtId="190" fontId="1" fillId="0" borderId="22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left" vertical="center" wrapText="1"/>
    </xf>
    <xf numFmtId="196" fontId="2" fillId="0" borderId="19" xfId="0" applyNumberFormat="1" applyFont="1" applyBorder="1" applyAlignment="1">
      <alignment horizontal="right" vertical="center"/>
    </xf>
    <xf numFmtId="196" fontId="2" fillId="0" borderId="33" xfId="0" applyNumberFormat="1" applyFont="1" applyBorder="1" applyAlignment="1">
      <alignment horizontal="right" vertical="center"/>
    </xf>
    <xf numFmtId="0" fontId="8" fillId="0" borderId="42" xfId="42" applyFill="1" applyBorder="1" applyAlignment="1" applyProtection="1">
      <alignment vertical="center" wrapText="1"/>
      <protection locked="0"/>
    </xf>
    <xf numFmtId="168" fontId="1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7" fillId="22" borderId="56" xfId="0" applyFont="1" applyFill="1" applyBorder="1" applyAlignment="1">
      <alignment horizontal="center" vertical="center"/>
    </xf>
    <xf numFmtId="0" fontId="17" fillId="22" borderId="21" xfId="0" applyFont="1" applyFill="1" applyBorder="1" applyAlignment="1">
      <alignment horizontal="center" vertical="center"/>
    </xf>
    <xf numFmtId="168" fontId="17" fillId="22" borderId="22" xfId="0" applyNumberFormat="1" applyFont="1" applyFill="1" applyBorder="1" applyAlignment="1">
      <alignment horizontal="center" vertical="center"/>
    </xf>
    <xf numFmtId="0" fontId="17" fillId="22" borderId="56" xfId="0" applyFont="1" applyFill="1" applyBorder="1" applyAlignment="1">
      <alignment horizontal="center"/>
    </xf>
    <xf numFmtId="0" fontId="14" fillId="22" borderId="57" xfId="0" applyFont="1" applyFill="1" applyBorder="1" applyAlignment="1">
      <alignment horizontal="center" vertical="center"/>
    </xf>
    <xf numFmtId="0" fontId="14" fillId="22" borderId="58" xfId="0" applyFont="1" applyFill="1" applyBorder="1" applyAlignment="1">
      <alignment horizontal="center"/>
    </xf>
    <xf numFmtId="1" fontId="14" fillId="22" borderId="18" xfId="0" applyNumberFormat="1" applyFont="1" applyFill="1" applyBorder="1" applyAlignment="1">
      <alignment horizontal="center" vertical="center"/>
    </xf>
    <xf numFmtId="0" fontId="17" fillId="22" borderId="5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4" fillId="0" borderId="5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99" fontId="54" fillId="0" borderId="16" xfId="0" applyNumberFormat="1" applyFont="1" applyBorder="1" applyAlignment="1">
      <alignment/>
    </xf>
    <xf numFmtId="199" fontId="54" fillId="0" borderId="15" xfId="0" applyNumberFormat="1" applyFont="1" applyBorder="1" applyAlignment="1">
      <alignment/>
    </xf>
    <xf numFmtId="199" fontId="54" fillId="0" borderId="17" xfId="0" applyNumberFormat="1" applyFont="1" applyBorder="1" applyAlignment="1">
      <alignment/>
    </xf>
    <xf numFmtId="199" fontId="54" fillId="0" borderId="51" xfId="0" applyNumberFormat="1" applyFont="1" applyBorder="1" applyAlignment="1">
      <alignment/>
    </xf>
    <xf numFmtId="199" fontId="54" fillId="0" borderId="62" xfId="0" applyNumberFormat="1" applyFont="1" applyBorder="1" applyAlignment="1">
      <alignment/>
    </xf>
    <xf numFmtId="49" fontId="14" fillId="24" borderId="58" xfId="0" applyNumberFormat="1" applyFont="1" applyFill="1" applyBorder="1" applyAlignment="1">
      <alignment horizontal="center" vertical="center"/>
    </xf>
    <xf numFmtId="49" fontId="14" fillId="24" borderId="62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right" indent="1"/>
    </xf>
    <xf numFmtId="217" fontId="2" fillId="0" borderId="19" xfId="0" applyNumberFormat="1" applyFont="1" applyBorder="1" applyAlignment="1">
      <alignment horizontal="right" indent="1"/>
    </xf>
    <xf numFmtId="4" fontId="2" fillId="0" borderId="30" xfId="0" applyNumberFormat="1" applyFont="1" applyBorder="1" applyAlignment="1">
      <alignment horizontal="left" indent="2"/>
    </xf>
    <xf numFmtId="2" fontId="2" fillId="0" borderId="30" xfId="0" applyNumberFormat="1" applyFont="1" applyBorder="1" applyAlignment="1">
      <alignment horizontal="left" indent="2"/>
    </xf>
    <xf numFmtId="0" fontId="0" fillId="0" borderId="18" xfId="0" applyFont="1" applyBorder="1" applyAlignment="1">
      <alignment horizontal="center"/>
    </xf>
    <xf numFmtId="2" fontId="0" fillId="0" borderId="51" xfId="0" applyNumberFormat="1" applyBorder="1" applyAlignment="1">
      <alignment horizontal="center" vertical="center"/>
    </xf>
    <xf numFmtId="194" fontId="2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6" fillId="3" borderId="10" xfId="0" applyFont="1" applyFill="1" applyBorder="1" applyAlignment="1">
      <alignment/>
    </xf>
    <xf numFmtId="168" fontId="6" fillId="3" borderId="1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68" fontId="7" fillId="3" borderId="0" xfId="0" applyNumberFormat="1" applyFont="1" applyFill="1" applyBorder="1" applyAlignment="1">
      <alignment/>
    </xf>
    <xf numFmtId="0" fontId="12" fillId="3" borderId="0" xfId="0" applyFont="1" applyFill="1" applyBorder="1" applyAlignment="1">
      <alignment vertical="center" wrapText="1"/>
    </xf>
    <xf numFmtId="0" fontId="0" fillId="3" borderId="0" xfId="0" applyFill="1" applyAlignment="1">
      <alignment/>
    </xf>
    <xf numFmtId="0" fontId="1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8" fontId="9" fillId="3" borderId="13" xfId="0" applyNumberFormat="1" applyFont="1" applyFill="1" applyBorder="1" applyAlignment="1">
      <alignment vertical="center" wrapText="1"/>
    </xf>
    <xf numFmtId="0" fontId="17" fillId="3" borderId="21" xfId="0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/>
    </xf>
    <xf numFmtId="2" fontId="2" fillId="3" borderId="35" xfId="0" applyNumberFormat="1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63" xfId="0" applyNumberFormat="1" applyFont="1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194" fontId="2" fillId="3" borderId="52" xfId="0" applyNumberFormat="1" applyFont="1" applyFill="1" applyBorder="1" applyAlignment="1">
      <alignment/>
    </xf>
    <xf numFmtId="194" fontId="2" fillId="3" borderId="19" xfId="0" applyNumberFormat="1" applyFont="1" applyFill="1" applyBorder="1" applyAlignment="1">
      <alignment/>
    </xf>
    <xf numFmtId="194" fontId="2" fillId="3" borderId="33" xfId="0" applyNumberFormat="1" applyFont="1" applyFill="1" applyBorder="1" applyAlignment="1">
      <alignment/>
    </xf>
    <xf numFmtId="194" fontId="2" fillId="3" borderId="36" xfId="0" applyNumberFormat="1" applyFont="1" applyFill="1" applyBorder="1" applyAlignment="1">
      <alignment/>
    </xf>
    <xf numFmtId="194" fontId="2" fillId="3" borderId="30" xfId="0" applyNumberFormat="1" applyFont="1" applyFill="1" applyBorder="1" applyAlignment="1">
      <alignment/>
    </xf>
    <xf numFmtId="194" fontId="2" fillId="3" borderId="29" xfId="0" applyNumberFormat="1" applyFont="1" applyFill="1" applyBorder="1" applyAlignment="1">
      <alignment/>
    </xf>
    <xf numFmtId="194" fontId="2" fillId="3" borderId="54" xfId="0" applyNumberFormat="1" applyFont="1" applyFill="1" applyBorder="1" applyAlignment="1">
      <alignment/>
    </xf>
    <xf numFmtId="0" fontId="2" fillId="3" borderId="21" xfId="0" applyFont="1" applyFill="1" applyBorder="1" applyAlignment="1">
      <alignment horizontal="center" vertical="center"/>
    </xf>
    <xf numFmtId="2" fontId="2" fillId="3" borderId="52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217" fontId="2" fillId="3" borderId="19" xfId="0" applyNumberFormat="1" applyFont="1" applyFill="1" applyBorder="1" applyAlignment="1">
      <alignment horizontal="right" indent="1"/>
    </xf>
    <xf numFmtId="196" fontId="2" fillId="3" borderId="64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168" fontId="0" fillId="3" borderId="0" xfId="0" applyNumberFormat="1" applyFill="1" applyAlignment="1">
      <alignment/>
    </xf>
    <xf numFmtId="2" fontId="0" fillId="0" borderId="65" xfId="0" applyNumberFormat="1" applyBorder="1" applyAlignment="1">
      <alignment horizontal="center" vertical="center"/>
    </xf>
    <xf numFmtId="0" fontId="17" fillId="3" borderId="64" xfId="0" applyFont="1" applyFill="1" applyBorder="1" applyAlignment="1">
      <alignment horizontal="center" vertical="center"/>
    </xf>
    <xf numFmtId="2" fontId="2" fillId="0" borderId="63" xfId="0" applyNumberFormat="1" applyFont="1" applyBorder="1" applyAlignment="1">
      <alignment horizontal="center"/>
    </xf>
    <xf numFmtId="169" fontId="1" fillId="0" borderId="37" xfId="0" applyNumberFormat="1" applyFont="1" applyBorder="1" applyAlignment="1">
      <alignment/>
    </xf>
    <xf numFmtId="2" fontId="0" fillId="0" borderId="18" xfId="0" applyNumberFormat="1" applyBorder="1" applyAlignment="1">
      <alignment horizontal="center" vertical="center"/>
    </xf>
    <xf numFmtId="194" fontId="2" fillId="0" borderId="64" xfId="0" applyNumberFormat="1" applyFont="1" applyBorder="1" applyAlignment="1">
      <alignment/>
    </xf>
    <xf numFmtId="3" fontId="1" fillId="0" borderId="66" xfId="0" applyNumberFormat="1" applyFont="1" applyBorder="1" applyAlignment="1">
      <alignment horizontal="center"/>
    </xf>
    <xf numFmtId="194" fontId="2" fillId="3" borderId="64" xfId="0" applyNumberFormat="1" applyFont="1" applyFill="1" applyBorder="1" applyAlignment="1">
      <alignment/>
    </xf>
    <xf numFmtId="2" fontId="0" fillId="0" borderId="67" xfId="0" applyNumberFormat="1" applyBorder="1" applyAlignment="1">
      <alignment horizontal="center" vertical="center"/>
    </xf>
    <xf numFmtId="194" fontId="2" fillId="0" borderId="6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0" fillId="0" borderId="61" xfId="0" applyNumberFormat="1" applyBorder="1" applyAlignment="1">
      <alignment horizontal="center" vertical="center"/>
    </xf>
    <xf numFmtId="194" fontId="2" fillId="0" borderId="69" xfId="0" applyNumberFormat="1" applyFont="1" applyBorder="1" applyAlignment="1">
      <alignment/>
    </xf>
    <xf numFmtId="2" fontId="14" fillId="0" borderId="51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70" xfId="0" applyNumberFormat="1" applyFont="1" applyBorder="1" applyAlignment="1">
      <alignment horizontal="center"/>
    </xf>
    <xf numFmtId="1" fontId="1" fillId="0" borderId="71" xfId="0" applyNumberFormat="1" applyFont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6" fillId="22" borderId="0" xfId="0" applyFont="1" applyFill="1" applyBorder="1" applyAlignment="1">
      <alignment/>
    </xf>
    <xf numFmtId="0" fontId="0" fillId="22" borderId="0" xfId="0" applyFont="1" applyFill="1" applyAlignment="1">
      <alignment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0" fontId="3" fillId="22" borderId="0" xfId="0" applyFont="1" applyFill="1" applyAlignment="1">
      <alignment/>
    </xf>
    <xf numFmtId="2" fontId="0" fillId="22" borderId="0" xfId="0" applyNumberFormat="1" applyFont="1" applyFill="1" applyAlignment="1">
      <alignment/>
    </xf>
    <xf numFmtId="0" fontId="2" fillId="22" borderId="12" xfId="0" applyFont="1" applyFill="1" applyBorder="1" applyAlignment="1">
      <alignment horizontal="center"/>
    </xf>
    <xf numFmtId="2" fontId="0" fillId="22" borderId="0" xfId="0" applyNumberFormat="1" applyFont="1" applyFill="1" applyBorder="1" applyAlignment="1">
      <alignment/>
    </xf>
    <xf numFmtId="2" fontId="0" fillId="22" borderId="0" xfId="0" applyNumberFormat="1" applyFont="1" applyFill="1" applyBorder="1" applyAlignment="1">
      <alignment/>
    </xf>
    <xf numFmtId="0" fontId="0" fillId="22" borderId="0" xfId="0" applyFont="1" applyFill="1" applyAlignment="1">
      <alignment horizontal="center"/>
    </xf>
    <xf numFmtId="2" fontId="2" fillId="22" borderId="0" xfId="0" applyNumberFormat="1" applyFont="1" applyFill="1" applyAlignment="1">
      <alignment/>
    </xf>
    <xf numFmtId="0" fontId="0" fillId="22" borderId="12" xfId="0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2" borderId="73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3" fontId="1" fillId="0" borderId="7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14" fillId="0" borderId="0" xfId="42" applyFont="1" applyBorder="1" applyAlignment="1" applyProtection="1">
      <alignment horizontal="left"/>
      <protection/>
    </xf>
    <xf numFmtId="168" fontId="0" fillId="0" borderId="0" xfId="0" applyNumberFormat="1" applyFont="1" applyBorder="1" applyAlignment="1">
      <alignment/>
    </xf>
    <xf numFmtId="2" fontId="2" fillId="0" borderId="21" xfId="0" applyNumberFormat="1" applyFont="1" applyFill="1" applyBorder="1" applyAlignment="1">
      <alignment horizontal="center"/>
    </xf>
    <xf numFmtId="169" fontId="1" fillId="0" borderId="22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 indent="1"/>
    </xf>
    <xf numFmtId="0" fontId="0" fillId="0" borderId="58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94" fontId="2" fillId="0" borderId="76" xfId="0" applyNumberFormat="1" applyFont="1" applyBorder="1" applyAlignment="1">
      <alignment/>
    </xf>
    <xf numFmtId="2" fontId="2" fillId="0" borderId="76" xfId="0" applyNumberFormat="1" applyFont="1" applyBorder="1" applyAlignment="1">
      <alignment horizontal="center"/>
    </xf>
    <xf numFmtId="190" fontId="1" fillId="0" borderId="75" xfId="0" applyNumberFormat="1" applyFont="1" applyBorder="1" applyAlignment="1">
      <alignment horizontal="right"/>
    </xf>
    <xf numFmtId="0" fontId="0" fillId="0" borderId="56" xfId="0" applyFont="1" applyBorder="1" applyAlignment="1">
      <alignment horizontal="center" vertical="center"/>
    </xf>
    <xf numFmtId="0" fontId="17" fillId="22" borderId="18" xfId="0" applyFont="1" applyFill="1" applyBorder="1" applyAlignment="1">
      <alignment horizontal="center"/>
    </xf>
    <xf numFmtId="0" fontId="17" fillId="22" borderId="77" xfId="0" applyFont="1" applyFill="1" applyBorder="1" applyAlignment="1">
      <alignment horizontal="center" vertical="center"/>
    </xf>
    <xf numFmtId="168" fontId="17" fillId="22" borderId="78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14" fillId="0" borderId="79" xfId="0" applyNumberFormat="1" applyFont="1" applyBorder="1" applyAlignment="1">
      <alignment horizontal="center"/>
    </xf>
    <xf numFmtId="1" fontId="14" fillId="0" borderId="80" xfId="0" applyNumberFormat="1" applyFont="1" applyBorder="1" applyAlignment="1">
      <alignment horizontal="center"/>
    </xf>
    <xf numFmtId="1" fontId="14" fillId="0" borderId="81" xfId="0" applyNumberFormat="1" applyFont="1" applyBorder="1" applyAlignment="1">
      <alignment horizontal="center"/>
    </xf>
    <xf numFmtId="194" fontId="2" fillId="3" borderId="32" xfId="0" applyNumberFormat="1" applyFont="1" applyFill="1" applyBorder="1" applyAlignment="1">
      <alignment/>
    </xf>
    <xf numFmtId="194" fontId="2" fillId="3" borderId="15" xfId="0" applyNumberFormat="1" applyFont="1" applyFill="1" applyBorder="1" applyAlignment="1">
      <alignment/>
    </xf>
    <xf numFmtId="194" fontId="2" fillId="3" borderId="17" xfId="0" applyNumberFormat="1" applyFont="1" applyFill="1" applyBorder="1" applyAlignment="1">
      <alignment/>
    </xf>
    <xf numFmtId="194" fontId="2" fillId="3" borderId="56" xfId="0" applyNumberFormat="1" applyFont="1" applyFill="1" applyBorder="1" applyAlignment="1">
      <alignment/>
    </xf>
    <xf numFmtId="2" fontId="2" fillId="3" borderId="21" xfId="0" applyNumberFormat="1" applyFont="1" applyFill="1" applyBorder="1" applyAlignment="1">
      <alignment horizontal="center"/>
    </xf>
    <xf numFmtId="0" fontId="17" fillId="3" borderId="77" xfId="0" applyFont="1" applyFill="1" applyBorder="1" applyAlignment="1">
      <alignment horizontal="center" vertical="center"/>
    </xf>
    <xf numFmtId="0" fontId="0" fillId="3" borderId="82" xfId="0" applyFill="1" applyBorder="1" applyAlignment="1">
      <alignment/>
    </xf>
    <xf numFmtId="0" fontId="0" fillId="3" borderId="83" xfId="0" applyFill="1" applyBorder="1" applyAlignment="1">
      <alignment/>
    </xf>
    <xf numFmtId="2" fontId="14" fillId="0" borderId="62" xfId="0" applyNumberFormat="1" applyFont="1" applyBorder="1" applyAlignment="1">
      <alignment horizontal="center"/>
    </xf>
    <xf numFmtId="1" fontId="14" fillId="0" borderId="72" xfId="0" applyNumberFormat="1" applyFont="1" applyBorder="1" applyAlignment="1">
      <alignment horizontal="center"/>
    </xf>
    <xf numFmtId="2" fontId="2" fillId="0" borderId="63" xfId="0" applyNumberFormat="1" applyFont="1" applyFill="1" applyBorder="1" applyAlignment="1">
      <alignment horizontal="center"/>
    </xf>
    <xf numFmtId="169" fontId="1" fillId="0" borderId="37" xfId="0" applyNumberFormat="1" applyFont="1" applyFill="1" applyBorder="1" applyAlignment="1">
      <alignment/>
    </xf>
    <xf numFmtId="2" fontId="2" fillId="0" borderId="63" xfId="0" applyNumberFormat="1" applyFont="1" applyFill="1" applyBorder="1" applyAlignment="1">
      <alignment horizontal="right" indent="1"/>
    </xf>
    <xf numFmtId="0" fontId="1" fillId="22" borderId="13" xfId="0" applyFont="1" applyFill="1" applyBorder="1" applyAlignment="1">
      <alignment/>
    </xf>
    <xf numFmtId="0" fontId="0" fillId="22" borderId="0" xfId="0" applyFill="1" applyBorder="1" applyAlignment="1">
      <alignment/>
    </xf>
    <xf numFmtId="0" fontId="0" fillId="0" borderId="0" xfId="0" applyFont="1" applyBorder="1" applyAlignment="1" applyProtection="1">
      <alignment/>
      <protection hidden="1" locked="0"/>
    </xf>
    <xf numFmtId="0" fontId="2" fillId="0" borderId="0" xfId="0" applyFont="1" applyAlignment="1">
      <alignment horizontal="left" vertical="center"/>
    </xf>
    <xf numFmtId="196" fontId="2" fillId="0" borderId="30" xfId="0" applyNumberFormat="1" applyFont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94" fontId="6" fillId="22" borderId="0" xfId="0" applyNumberFormat="1" applyFont="1" applyFill="1" applyBorder="1" applyAlignment="1">
      <alignment/>
    </xf>
    <xf numFmtId="194" fontId="0" fillId="22" borderId="0" xfId="0" applyNumberFormat="1" applyFont="1" applyFill="1" applyAlignment="1">
      <alignment/>
    </xf>
    <xf numFmtId="194" fontId="3" fillId="22" borderId="0" xfId="0" applyNumberFormat="1" applyFont="1" applyFill="1" applyAlignment="1">
      <alignment/>
    </xf>
    <xf numFmtId="194" fontId="2" fillId="22" borderId="0" xfId="0" applyNumberFormat="1" applyFont="1" applyFill="1" applyAlignment="1">
      <alignment horizontal="center"/>
    </xf>
    <xf numFmtId="194" fontId="1" fillId="22" borderId="0" xfId="0" applyNumberFormat="1" applyFont="1" applyFill="1" applyAlignment="1">
      <alignment/>
    </xf>
    <xf numFmtId="194" fontId="1" fillId="22" borderId="13" xfId="0" applyNumberFormat="1" applyFont="1" applyFill="1" applyBorder="1" applyAlignment="1">
      <alignment/>
    </xf>
    <xf numFmtId="194" fontId="2" fillId="22" borderId="12" xfId="0" applyNumberFormat="1" applyFont="1" applyFill="1" applyBorder="1" applyAlignment="1">
      <alignment horizontal="center"/>
    </xf>
    <xf numFmtId="194" fontId="0" fillId="22" borderId="0" xfId="0" applyNumberFormat="1" applyFont="1" applyFill="1" applyBorder="1" applyAlignment="1">
      <alignment/>
    </xf>
    <xf numFmtId="194" fontId="0" fillId="22" borderId="0" xfId="0" applyNumberFormat="1" applyFont="1" applyFill="1" applyBorder="1" applyAlignment="1">
      <alignment/>
    </xf>
    <xf numFmtId="194" fontId="0" fillId="22" borderId="0" xfId="0" applyNumberFormat="1" applyFont="1" applyFill="1" applyAlignment="1">
      <alignment horizontal="center"/>
    </xf>
    <xf numFmtId="194" fontId="2" fillId="22" borderId="0" xfId="0" applyNumberFormat="1" applyFont="1" applyFill="1" applyAlignment="1">
      <alignment/>
    </xf>
    <xf numFmtId="194" fontId="0" fillId="22" borderId="12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89" xfId="0" applyFont="1" applyBorder="1" applyAlignment="1">
      <alignment horizontal="left" indent="1"/>
    </xf>
    <xf numFmtId="0" fontId="0" fillId="0" borderId="90" xfId="0" applyFont="1" applyBorder="1" applyAlignment="1">
      <alignment horizontal="left" indent="1"/>
    </xf>
    <xf numFmtId="0" fontId="0" fillId="0" borderId="91" xfId="0" applyFont="1" applyBorder="1" applyAlignment="1">
      <alignment horizontal="left" indent="1"/>
    </xf>
    <xf numFmtId="0" fontId="0" fillId="0" borderId="92" xfId="0" applyFont="1" applyBorder="1" applyAlignment="1">
      <alignment horizontal="left" indent="1"/>
    </xf>
    <xf numFmtId="0" fontId="0" fillId="0" borderId="93" xfId="0" applyFont="1" applyBorder="1" applyAlignment="1">
      <alignment horizontal="left" indent="1"/>
    </xf>
    <xf numFmtId="0" fontId="7" fillId="0" borderId="94" xfId="0" applyFon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194" fontId="2" fillId="0" borderId="63" xfId="0" applyNumberFormat="1" applyFont="1" applyBorder="1" applyAlignment="1">
      <alignment/>
    </xf>
    <xf numFmtId="3" fontId="1" fillId="0" borderId="37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2" fontId="0" fillId="0" borderId="58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6" fontId="2" fillId="0" borderId="29" xfId="0" applyNumberFormat="1" applyFont="1" applyBorder="1" applyAlignment="1">
      <alignment horizontal="right" vertical="center"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2" fillId="0" borderId="97" xfId="0" applyFont="1" applyBorder="1" applyAlignment="1">
      <alignment horizontal="center"/>
    </xf>
    <xf numFmtId="0" fontId="0" fillId="0" borderId="98" xfId="0" applyFont="1" applyFill="1" applyBorder="1" applyAlignment="1">
      <alignment/>
    </xf>
    <xf numFmtId="0" fontId="2" fillId="0" borderId="95" xfId="0" applyFont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194" fontId="0" fillId="22" borderId="0" xfId="0" applyNumberFormat="1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2" fillId="0" borderId="74" xfId="0" applyFont="1" applyBorder="1" applyAlignment="1">
      <alignment horizontal="center"/>
    </xf>
    <xf numFmtId="0" fontId="0" fillId="0" borderId="79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2" fillId="0" borderId="100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190" fontId="1" fillId="0" borderId="11" xfId="0" applyNumberFormat="1" applyFont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2" fillId="0" borderId="99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194" fontId="2" fillId="0" borderId="29" xfId="0" applyNumberFormat="1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0" fontId="17" fillId="22" borderId="81" xfId="0" applyFont="1" applyFill="1" applyBorder="1" applyAlignment="1">
      <alignment horizontal="center" vertical="center"/>
    </xf>
    <xf numFmtId="0" fontId="17" fillId="0" borderId="101" xfId="0" applyFont="1" applyBorder="1" applyAlignment="1">
      <alignment horizontal="center"/>
    </xf>
    <xf numFmtId="16" fontId="17" fillId="0" borderId="53" xfId="0" applyNumberFormat="1" applyFont="1" applyBorder="1" applyAlignment="1">
      <alignment horizontal="center"/>
    </xf>
    <xf numFmtId="0" fontId="17" fillId="0" borderId="10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4" fillId="22" borderId="21" xfId="0" applyFont="1" applyFill="1" applyBorder="1" applyAlignment="1">
      <alignment horizontal="center" vertical="center"/>
    </xf>
    <xf numFmtId="0" fontId="14" fillId="22" borderId="103" xfId="0" applyFont="1" applyFill="1" applyBorder="1" applyAlignment="1">
      <alignment horizontal="center" vertical="center"/>
    </xf>
    <xf numFmtId="0" fontId="14" fillId="22" borderId="22" xfId="0" applyFont="1" applyFill="1" applyBorder="1" applyAlignment="1">
      <alignment horizontal="center" vertical="center"/>
    </xf>
    <xf numFmtId="0" fontId="17" fillId="0" borderId="104" xfId="0" applyFont="1" applyBorder="1" applyAlignment="1">
      <alignment horizontal="center"/>
    </xf>
    <xf numFmtId="16" fontId="17" fillId="0" borderId="31" xfId="0" applyNumberFormat="1" applyFont="1" applyBorder="1" applyAlignment="1">
      <alignment horizontal="center"/>
    </xf>
    <xf numFmtId="0" fontId="17" fillId="0" borderId="105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0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0" fillId="22" borderId="0" xfId="0" applyFont="1" applyFill="1" applyAlignment="1">
      <alignment/>
    </xf>
    <xf numFmtId="194" fontId="7" fillId="22" borderId="0" xfId="0" applyNumberFormat="1" applyFont="1" applyFill="1" applyAlignment="1">
      <alignment/>
    </xf>
    <xf numFmtId="194" fontId="3" fillId="26" borderId="12" xfId="0" applyNumberFormat="1" applyFont="1" applyFill="1" applyBorder="1" applyAlignment="1">
      <alignment horizontal="center"/>
    </xf>
    <xf numFmtId="194" fontId="3" fillId="27" borderId="12" xfId="0" applyNumberFormat="1" applyFont="1" applyFill="1" applyBorder="1" applyAlignment="1">
      <alignment horizontal="center"/>
    </xf>
    <xf numFmtId="1" fontId="0" fillId="22" borderId="0" xfId="0" applyNumberFormat="1" applyFont="1" applyFill="1" applyBorder="1" applyAlignment="1">
      <alignment/>
    </xf>
    <xf numFmtId="194" fontId="0" fillId="22" borderId="0" xfId="0" applyNumberFormat="1" applyFont="1" applyFill="1" applyAlignment="1">
      <alignment/>
    </xf>
    <xf numFmtId="194" fontId="0" fillId="22" borderId="0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96" fontId="2" fillId="0" borderId="63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96" fontId="2" fillId="0" borderId="27" xfId="0" applyNumberFormat="1" applyFont="1" applyBorder="1" applyAlignment="1">
      <alignment horizontal="right"/>
    </xf>
    <xf numFmtId="2" fontId="0" fillId="22" borderId="100" xfId="0" applyNumberFormat="1" applyFont="1" applyFill="1" applyBorder="1" applyAlignment="1">
      <alignment/>
    </xf>
    <xf numFmtId="194" fontId="0" fillId="22" borderId="100" xfId="0" applyNumberFormat="1" applyFont="1" applyFill="1" applyBorder="1" applyAlignment="1">
      <alignment/>
    </xf>
    <xf numFmtId="0" fontId="0" fillId="22" borderId="100" xfId="0" applyFill="1" applyBorder="1" applyAlignment="1">
      <alignment/>
    </xf>
    <xf numFmtId="196" fontId="2" fillId="3" borderId="35" xfId="0" applyNumberFormat="1" applyFont="1" applyFill="1" applyBorder="1" applyAlignment="1">
      <alignment horizontal="right"/>
    </xf>
    <xf numFmtId="0" fontId="0" fillId="22" borderId="12" xfId="0" applyFont="1" applyFill="1" applyBorder="1" applyAlignment="1">
      <alignment/>
    </xf>
    <xf numFmtId="207" fontId="1" fillId="0" borderId="20" xfId="55" applyNumberFormat="1" applyFont="1" applyFill="1" applyBorder="1" applyAlignment="1">
      <alignment vertical="center" wrapText="1"/>
      <protection/>
    </xf>
    <xf numFmtId="207" fontId="1" fillId="0" borderId="25" xfId="55" applyNumberFormat="1" applyFont="1" applyFill="1" applyBorder="1" applyAlignment="1">
      <alignment vertical="center" wrapText="1"/>
      <protection/>
    </xf>
    <xf numFmtId="1" fontId="1" fillId="0" borderId="107" xfId="0" applyNumberFormat="1" applyFont="1" applyBorder="1" applyAlignment="1">
      <alignment horizontal="center" vertical="top"/>
    </xf>
    <xf numFmtId="0" fontId="0" fillId="25" borderId="0" xfId="0" applyFill="1" applyAlignment="1">
      <alignment/>
    </xf>
    <xf numFmtId="207" fontId="1" fillId="0" borderId="31" xfId="55" applyNumberFormat="1" applyFont="1" applyFill="1" applyBorder="1" applyAlignment="1">
      <alignment vertical="center" wrapText="1"/>
      <protection/>
    </xf>
    <xf numFmtId="207" fontId="1" fillId="0" borderId="24" xfId="55" applyNumberFormat="1" applyFont="1" applyFill="1" applyBorder="1" applyAlignment="1">
      <alignment vertical="center" wrapText="1"/>
      <protection/>
    </xf>
    <xf numFmtId="196" fontId="2" fillId="0" borderId="34" xfId="0" applyNumberFormat="1" applyFont="1" applyBorder="1" applyAlignment="1">
      <alignment horizontal="right" vertical="center"/>
    </xf>
    <xf numFmtId="2" fontId="0" fillId="22" borderId="0" xfId="0" applyNumberFormat="1" applyFont="1" applyFill="1" applyBorder="1" applyAlignment="1">
      <alignment vertical="center"/>
    </xf>
    <xf numFmtId="0" fontId="0" fillId="22" borderId="0" xfId="0" applyFill="1" applyAlignment="1">
      <alignment vertical="center"/>
    </xf>
    <xf numFmtId="196" fontId="2" fillId="3" borderId="64" xfId="0" applyNumberFormat="1" applyFont="1" applyFill="1" applyBorder="1" applyAlignment="1">
      <alignment horizontal="right" vertical="center"/>
    </xf>
    <xf numFmtId="0" fontId="0" fillId="0" borderId="15" xfId="55" applyFont="1" applyFill="1" applyBorder="1" applyAlignment="1">
      <alignment horizontal="left" vertical="center" wrapText="1"/>
      <protection/>
    </xf>
    <xf numFmtId="1" fontId="7" fillId="0" borderId="15" xfId="55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vertical="center"/>
    </xf>
    <xf numFmtId="194" fontId="0" fillId="0" borderId="0" xfId="55" applyNumberFormat="1" applyFont="1" applyFill="1" applyBorder="1" applyAlignment="1">
      <alignment horizontal="right" vertical="center" wrapText="1"/>
      <protection/>
    </xf>
    <xf numFmtId="0" fontId="0" fillId="0" borderId="62" xfId="55" applyFont="1" applyFill="1" applyBorder="1" applyAlignment="1">
      <alignment horizontal="left" vertical="center" wrapText="1"/>
      <protection/>
    </xf>
    <xf numFmtId="1" fontId="7" fillId="0" borderId="62" xfId="55" applyNumberFormat="1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 vertical="center" wrapText="1"/>
      <protection/>
    </xf>
    <xf numFmtId="1" fontId="7" fillId="0" borderId="17" xfId="55" applyNumberFormat="1" applyFont="1" applyFill="1" applyBorder="1" applyAlignment="1">
      <alignment horizontal="center" vertical="center" wrapText="1"/>
      <protection/>
    </xf>
    <xf numFmtId="0" fontId="0" fillId="0" borderId="51" xfId="55" applyFont="1" applyFill="1" applyBorder="1" applyAlignment="1">
      <alignment horizontal="left" vertical="center" wrapText="1"/>
      <protection/>
    </xf>
    <xf numFmtId="1" fontId="7" fillId="0" borderId="51" xfId="55" applyNumberFormat="1" applyFont="1" applyFill="1" applyBorder="1" applyAlignment="1">
      <alignment horizontal="center" vertical="center" wrapText="1"/>
      <protection/>
    </xf>
    <xf numFmtId="196" fontId="2" fillId="3" borderId="19" xfId="0" applyNumberFormat="1" applyFont="1" applyFill="1" applyBorder="1" applyAlignment="1">
      <alignment horizontal="right" vertical="center"/>
    </xf>
    <xf numFmtId="0" fontId="0" fillId="0" borderId="51" xfId="55" applyFont="1" applyFill="1" applyBorder="1" applyAlignment="1">
      <alignment horizontal="left" vertical="center"/>
      <protection/>
    </xf>
    <xf numFmtId="0" fontId="0" fillId="0" borderId="15" xfId="55" applyFont="1" applyFill="1" applyBorder="1" applyAlignment="1">
      <alignment vertical="center" wrapText="1"/>
      <protection/>
    </xf>
    <xf numFmtId="196" fontId="2" fillId="3" borderId="33" xfId="0" applyNumberFormat="1" applyFont="1" applyFill="1" applyBorder="1" applyAlignment="1">
      <alignment horizontal="right" vertical="center"/>
    </xf>
    <xf numFmtId="196" fontId="2" fillId="3" borderId="30" xfId="0" applyNumberFormat="1" applyFont="1" applyFill="1" applyBorder="1" applyAlignment="1">
      <alignment horizontal="right" vertical="center"/>
    </xf>
    <xf numFmtId="196" fontId="2" fillId="0" borderId="36" xfId="0" applyNumberFormat="1" applyFont="1" applyBorder="1" applyAlignment="1">
      <alignment horizontal="right" vertical="center"/>
    </xf>
    <xf numFmtId="196" fontId="2" fillId="3" borderId="36" xfId="0" applyNumberFormat="1" applyFont="1" applyFill="1" applyBorder="1" applyAlignment="1">
      <alignment horizontal="right" vertical="center"/>
    </xf>
    <xf numFmtId="196" fontId="2" fillId="3" borderId="54" xfId="0" applyNumberFormat="1" applyFont="1" applyFill="1" applyBorder="1" applyAlignment="1">
      <alignment horizontal="right" vertical="center"/>
    </xf>
    <xf numFmtId="207" fontId="1" fillId="0" borderId="14" xfId="55" applyNumberFormat="1" applyFont="1" applyFill="1" applyBorder="1" applyAlignment="1">
      <alignment vertical="center" wrapText="1"/>
      <protection/>
    </xf>
    <xf numFmtId="0" fontId="0" fillId="0" borderId="26" xfId="55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center" vertical="center" wrapText="1"/>
      <protection/>
    </xf>
    <xf numFmtId="0" fontId="7" fillId="0" borderId="65" xfId="0" applyFont="1" applyBorder="1" applyAlignment="1">
      <alignment horizontal="right" vertical="center" indent="1"/>
    </xf>
    <xf numFmtId="168" fontId="17" fillId="3" borderId="108" xfId="0" applyNumberFormat="1" applyFont="1" applyFill="1" applyBorder="1" applyAlignment="1">
      <alignment horizontal="center" vertical="center"/>
    </xf>
    <xf numFmtId="3" fontId="1" fillId="3" borderId="109" xfId="0" applyNumberFormat="1" applyFont="1" applyFill="1" applyBorder="1" applyAlignment="1">
      <alignment horizontal="center"/>
    </xf>
    <xf numFmtId="3" fontId="1" fillId="3" borderId="110" xfId="0" applyNumberFormat="1" applyFont="1" applyFill="1" applyBorder="1" applyAlignment="1">
      <alignment horizontal="center"/>
    </xf>
    <xf numFmtId="3" fontId="1" fillId="3" borderId="111" xfId="0" applyNumberFormat="1" applyFont="1" applyFill="1" applyBorder="1" applyAlignment="1">
      <alignment horizontal="center"/>
    </xf>
    <xf numFmtId="3" fontId="1" fillId="3" borderId="112" xfId="0" applyNumberFormat="1" applyFont="1" applyFill="1" applyBorder="1" applyAlignment="1">
      <alignment horizontal="center"/>
    </xf>
    <xf numFmtId="3" fontId="1" fillId="3" borderId="113" xfId="0" applyNumberFormat="1" applyFont="1" applyFill="1" applyBorder="1" applyAlignment="1">
      <alignment horizontal="center"/>
    </xf>
    <xf numFmtId="3" fontId="1" fillId="3" borderId="114" xfId="0" applyNumberFormat="1" applyFont="1" applyFill="1" applyBorder="1" applyAlignment="1">
      <alignment horizontal="center"/>
    </xf>
    <xf numFmtId="3" fontId="1" fillId="3" borderId="115" xfId="0" applyNumberFormat="1" applyFont="1" applyFill="1" applyBorder="1" applyAlignment="1">
      <alignment horizontal="center"/>
    </xf>
    <xf numFmtId="3" fontId="1" fillId="3" borderId="116" xfId="0" applyNumberFormat="1" applyFont="1" applyFill="1" applyBorder="1" applyAlignment="1">
      <alignment horizontal="center"/>
    </xf>
    <xf numFmtId="169" fontId="1" fillId="3" borderId="109" xfId="0" applyNumberFormat="1" applyFont="1" applyFill="1" applyBorder="1" applyAlignment="1">
      <alignment/>
    </xf>
    <xf numFmtId="169" fontId="1" fillId="3" borderId="117" xfId="0" applyNumberFormat="1" applyFont="1" applyFill="1" applyBorder="1" applyAlignment="1">
      <alignment/>
    </xf>
    <xf numFmtId="169" fontId="1" fillId="3" borderId="115" xfId="0" applyNumberFormat="1" applyFont="1" applyFill="1" applyBorder="1" applyAlignment="1">
      <alignment/>
    </xf>
    <xf numFmtId="169" fontId="1" fillId="3" borderId="60" xfId="0" applyNumberFormat="1" applyFont="1" applyFill="1" applyBorder="1" applyAlignment="1">
      <alignment/>
    </xf>
    <xf numFmtId="190" fontId="1" fillId="3" borderId="115" xfId="0" applyNumberFormat="1" applyFont="1" applyFill="1" applyBorder="1" applyAlignment="1">
      <alignment horizontal="right"/>
    </xf>
    <xf numFmtId="190" fontId="1" fillId="3" borderId="116" xfId="0" applyNumberFormat="1" applyFont="1" applyFill="1" applyBorder="1" applyAlignment="1">
      <alignment horizontal="right"/>
    </xf>
    <xf numFmtId="3" fontId="1" fillId="3" borderId="89" xfId="0" applyNumberFormat="1" applyFont="1" applyFill="1" applyBorder="1" applyAlignment="1">
      <alignment horizontal="center"/>
    </xf>
    <xf numFmtId="3" fontId="1" fillId="3" borderId="92" xfId="0" applyNumberFormat="1" applyFont="1" applyFill="1" applyBorder="1" applyAlignment="1">
      <alignment horizontal="center"/>
    </xf>
    <xf numFmtId="3" fontId="1" fillId="3" borderId="90" xfId="0" applyNumberFormat="1" applyFont="1" applyFill="1" applyBorder="1" applyAlignment="1">
      <alignment horizontal="center"/>
    </xf>
    <xf numFmtId="3" fontId="1" fillId="3" borderId="118" xfId="0" applyNumberFormat="1" applyFont="1" applyFill="1" applyBorder="1" applyAlignment="1">
      <alignment horizontal="center"/>
    </xf>
    <xf numFmtId="168" fontId="17" fillId="3" borderId="112" xfId="0" applyNumberFormat="1" applyFont="1" applyFill="1" applyBorder="1" applyAlignment="1">
      <alignment horizontal="center" vertical="center"/>
    </xf>
    <xf numFmtId="169" fontId="1" fillId="3" borderId="119" xfId="0" applyNumberFormat="1" applyFont="1" applyFill="1" applyBorder="1" applyAlignment="1">
      <alignment/>
    </xf>
    <xf numFmtId="169" fontId="1" fillId="3" borderId="120" xfId="0" applyNumberFormat="1" applyFont="1" applyFill="1" applyBorder="1" applyAlignment="1">
      <alignment/>
    </xf>
    <xf numFmtId="169" fontId="1" fillId="3" borderId="113" xfId="0" applyNumberFormat="1" applyFont="1" applyFill="1" applyBorder="1" applyAlignment="1">
      <alignment/>
    </xf>
    <xf numFmtId="169" fontId="1" fillId="3" borderId="114" xfId="0" applyNumberFormat="1" applyFont="1" applyFill="1" applyBorder="1" applyAlignment="1">
      <alignment/>
    </xf>
    <xf numFmtId="169" fontId="1" fillId="3" borderId="116" xfId="0" applyNumberFormat="1" applyFont="1" applyFill="1" applyBorder="1" applyAlignment="1">
      <alignment/>
    </xf>
    <xf numFmtId="168" fontId="2" fillId="3" borderId="108" xfId="0" applyNumberFormat="1" applyFont="1" applyFill="1" applyBorder="1" applyAlignment="1">
      <alignment horizontal="center" vertical="center"/>
    </xf>
    <xf numFmtId="190" fontId="1" fillId="3" borderId="109" xfId="0" applyNumberFormat="1" applyFont="1" applyFill="1" applyBorder="1" applyAlignment="1">
      <alignment horizontal="right"/>
    </xf>
    <xf numFmtId="190" fontId="1" fillId="3" borderId="110" xfId="0" applyNumberFormat="1" applyFont="1" applyFill="1" applyBorder="1" applyAlignment="1">
      <alignment horizontal="right"/>
    </xf>
    <xf numFmtId="190" fontId="1" fillId="3" borderId="121" xfId="0" applyNumberFormat="1" applyFont="1" applyFill="1" applyBorder="1" applyAlignment="1">
      <alignment horizontal="right"/>
    </xf>
    <xf numFmtId="190" fontId="1" fillId="3" borderId="114" xfId="0" applyNumberFormat="1" applyFont="1" applyFill="1" applyBorder="1" applyAlignment="1">
      <alignment horizontal="right"/>
    </xf>
    <xf numFmtId="168" fontId="17" fillId="3" borderId="122" xfId="0" applyNumberFormat="1" applyFont="1" applyFill="1" applyBorder="1" applyAlignment="1">
      <alignment horizontal="center" vertical="center"/>
    </xf>
    <xf numFmtId="0" fontId="0" fillId="3" borderId="100" xfId="0" applyFill="1" applyBorder="1" applyAlignment="1">
      <alignment/>
    </xf>
    <xf numFmtId="0" fontId="0" fillId="3" borderId="13" xfId="0" applyFill="1" applyBorder="1" applyAlignment="1">
      <alignment/>
    </xf>
    <xf numFmtId="190" fontId="1" fillId="3" borderId="112" xfId="0" applyNumberFormat="1" applyFont="1" applyFill="1" applyBorder="1" applyAlignment="1">
      <alignment horizontal="right" vertical="center"/>
    </xf>
    <xf numFmtId="190" fontId="1" fillId="3" borderId="110" xfId="0" applyNumberFormat="1" applyFont="1" applyFill="1" applyBorder="1" applyAlignment="1">
      <alignment horizontal="right" vertical="center"/>
    </xf>
    <xf numFmtId="190" fontId="1" fillId="3" borderId="114" xfId="0" applyNumberFormat="1" applyFont="1" applyFill="1" applyBorder="1" applyAlignment="1">
      <alignment horizontal="right" vertical="center"/>
    </xf>
    <xf numFmtId="190" fontId="1" fillId="3" borderId="115" xfId="0" applyNumberFormat="1" applyFont="1" applyFill="1" applyBorder="1" applyAlignment="1">
      <alignment horizontal="right" vertical="center"/>
    </xf>
    <xf numFmtId="190" fontId="1" fillId="3" borderId="113" xfId="0" applyNumberFormat="1" applyFont="1" applyFill="1" applyBorder="1" applyAlignment="1">
      <alignment horizontal="right" vertical="center"/>
    </xf>
    <xf numFmtId="190" fontId="1" fillId="3" borderId="111" xfId="0" applyNumberFormat="1" applyFont="1" applyFill="1" applyBorder="1" applyAlignment="1">
      <alignment horizontal="right" vertical="center"/>
    </xf>
    <xf numFmtId="190" fontId="1" fillId="3" borderId="112" xfId="0" applyNumberFormat="1" applyFont="1" applyFill="1" applyBorder="1" applyAlignment="1">
      <alignment horizontal="right"/>
    </xf>
    <xf numFmtId="190" fontId="1" fillId="3" borderId="12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right" vertical="center" indent="1"/>
    </xf>
    <xf numFmtId="0" fontId="7" fillId="0" borderId="51" xfId="0" applyFont="1" applyBorder="1" applyAlignment="1">
      <alignment horizontal="right" vertical="center" indent="1"/>
    </xf>
    <xf numFmtId="0" fontId="7" fillId="0" borderId="17" xfId="0" applyFont="1" applyBorder="1" applyAlignment="1">
      <alignment horizontal="right" vertical="center" indent="1"/>
    </xf>
    <xf numFmtId="0" fontId="7" fillId="0" borderId="70" xfId="0" applyFont="1" applyBorder="1" applyAlignment="1">
      <alignment horizontal="right" vertical="center" indent="1"/>
    </xf>
    <xf numFmtId="190" fontId="1" fillId="0" borderId="14" xfId="0" applyNumberFormat="1" applyFont="1" applyBorder="1" applyAlignment="1">
      <alignment horizontal="right"/>
    </xf>
    <xf numFmtId="190" fontId="1" fillId="3" borderId="119" xfId="0" applyNumberFormat="1" applyFont="1" applyFill="1" applyBorder="1" applyAlignment="1">
      <alignment horizontal="right"/>
    </xf>
    <xf numFmtId="207" fontId="1" fillId="0" borderId="37" xfId="55" applyNumberFormat="1" applyFont="1" applyFill="1" applyBorder="1" applyAlignment="1">
      <alignment vertical="center" wrapText="1"/>
      <protection/>
    </xf>
    <xf numFmtId="207" fontId="1" fillId="0" borderId="23" xfId="55" applyNumberFormat="1" applyFont="1" applyFill="1" applyBorder="1" applyAlignment="1">
      <alignment vertical="center" wrapText="1"/>
      <protection/>
    </xf>
    <xf numFmtId="0" fontId="0" fillId="0" borderId="74" xfId="0" applyFont="1" applyFill="1" applyBorder="1" applyAlignment="1">
      <alignment horizontal="left" indent="1"/>
    </xf>
    <xf numFmtId="0" fontId="0" fillId="0" borderId="99" xfId="0" applyFont="1" applyFill="1" applyBorder="1" applyAlignment="1">
      <alignment horizontal="left" indent="1"/>
    </xf>
    <xf numFmtId="0" fontId="0" fillId="0" borderId="95" xfId="0" applyFont="1" applyFill="1" applyBorder="1" applyAlignment="1">
      <alignment horizontal="left" indent="1"/>
    </xf>
    <xf numFmtId="0" fontId="0" fillId="0" borderId="97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68" fontId="0" fillId="0" borderId="107" xfId="0" applyNumberFormat="1" applyBorder="1" applyAlignment="1">
      <alignment horizontal="left" indent="1"/>
    </xf>
    <xf numFmtId="168" fontId="0" fillId="0" borderId="12" xfId="0" applyNumberFormat="1" applyBorder="1" applyAlignment="1">
      <alignment horizontal="left" indent="1"/>
    </xf>
    <xf numFmtId="0" fontId="17" fillId="0" borderId="12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90" fontId="1" fillId="0" borderId="37" xfId="0" applyNumberFormat="1" applyFont="1" applyBorder="1" applyAlignment="1">
      <alignment horizontal="right"/>
    </xf>
    <xf numFmtId="0" fontId="0" fillId="0" borderId="89" xfId="0" applyBorder="1" applyAlignment="1">
      <alignment horizontal="left" indent="1"/>
    </xf>
    <xf numFmtId="0" fontId="0" fillId="0" borderId="92" xfId="0" applyBorder="1" applyAlignment="1">
      <alignment horizontal="left" indent="1"/>
    </xf>
    <xf numFmtId="0" fontId="0" fillId="0" borderId="90" xfId="0" applyBorder="1" applyAlignment="1">
      <alignment horizontal="left" indent="1"/>
    </xf>
    <xf numFmtId="0" fontId="0" fillId="0" borderId="91" xfId="0" applyBorder="1" applyAlignment="1">
      <alignment horizontal="left" indent="1"/>
    </xf>
    <xf numFmtId="0" fontId="0" fillId="0" borderId="82" xfId="0" applyBorder="1" applyAlignment="1">
      <alignment horizontal="left" indent="1"/>
    </xf>
    <xf numFmtId="0" fontId="0" fillId="0" borderId="118" xfId="0" applyFont="1" applyFill="1" applyBorder="1" applyAlignment="1">
      <alignment horizontal="left" indent="1"/>
    </xf>
    <xf numFmtId="0" fontId="0" fillId="0" borderId="100" xfId="0" applyFont="1" applyFill="1" applyBorder="1" applyAlignment="1">
      <alignment horizontal="left" indent="1"/>
    </xf>
    <xf numFmtId="0" fontId="0" fillId="0" borderId="60" xfId="0" applyFont="1" applyFill="1" applyBorder="1" applyAlignment="1">
      <alignment horizontal="left" indent="1"/>
    </xf>
    <xf numFmtId="0" fontId="17" fillId="0" borderId="124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" fillId="22" borderId="125" xfId="0" applyFont="1" applyFill="1" applyBorder="1" applyAlignment="1">
      <alignment/>
    </xf>
    <xf numFmtId="194" fontId="1" fillId="22" borderId="125" xfId="0" applyNumberFormat="1" applyFont="1" applyFill="1" applyBorder="1" applyAlignment="1">
      <alignment/>
    </xf>
    <xf numFmtId="0" fontId="1" fillId="0" borderId="125" xfId="0" applyFont="1" applyBorder="1" applyAlignment="1">
      <alignment/>
    </xf>
    <xf numFmtId="0" fontId="2" fillId="22" borderId="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right" indent="1"/>
    </xf>
    <xf numFmtId="0" fontId="0" fillId="0" borderId="17" xfId="0" applyFont="1" applyFill="1" applyBorder="1" applyAlignment="1">
      <alignment horizontal="right" indent="1"/>
    </xf>
    <xf numFmtId="0" fontId="0" fillId="0" borderId="26" xfId="0" applyFont="1" applyFill="1" applyBorder="1" applyAlignment="1">
      <alignment horizontal="right" indent="1"/>
    </xf>
    <xf numFmtId="0" fontId="61" fillId="0" borderId="0" xfId="42" applyFont="1" applyAlignment="1" applyProtection="1">
      <alignment horizontal="left"/>
      <protection/>
    </xf>
    <xf numFmtId="168" fontId="70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168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168" fontId="61" fillId="0" borderId="0" xfId="0" applyNumberFormat="1" applyFont="1" applyAlignment="1">
      <alignment horizontal="left"/>
    </xf>
    <xf numFmtId="168" fontId="61" fillId="0" borderId="0" xfId="0" applyNumberFormat="1" applyFont="1" applyBorder="1" applyAlignment="1">
      <alignment horizontal="left"/>
    </xf>
    <xf numFmtId="0" fontId="61" fillId="0" borderId="0" xfId="42" applyFont="1" applyBorder="1" applyAlignment="1" applyProtection="1">
      <alignment horizontal="left"/>
      <protection/>
    </xf>
    <xf numFmtId="0" fontId="71" fillId="0" borderId="0" xfId="0" applyFont="1" applyBorder="1" applyAlignment="1">
      <alignment horizontal="left" vertical="center"/>
    </xf>
    <xf numFmtId="2" fontId="2" fillId="0" borderId="29" xfId="0" applyNumberFormat="1" applyFont="1" applyFill="1" applyBorder="1" applyAlignment="1">
      <alignment horizontal="center"/>
    </xf>
    <xf numFmtId="0" fontId="71" fillId="0" borderId="0" xfId="0" applyFont="1" applyBorder="1" applyAlignment="1">
      <alignment vertical="center"/>
    </xf>
    <xf numFmtId="2" fontId="0" fillId="3" borderId="0" xfId="0" applyNumberFormat="1" applyFont="1" applyFill="1" applyBorder="1" applyAlignment="1">
      <alignment horizontal="right" indent="1"/>
    </xf>
    <xf numFmtId="2" fontId="2" fillId="0" borderId="2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1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90" fontId="1" fillId="0" borderId="0" xfId="0" applyNumberFormat="1" applyFont="1" applyBorder="1" applyAlignment="1">
      <alignment horizontal="right"/>
    </xf>
    <xf numFmtId="2" fontId="0" fillId="3" borderId="0" xfId="0" applyNumberFormat="1" applyFont="1" applyFill="1" applyBorder="1" applyAlignment="1">
      <alignment horizontal="right" indent="1"/>
    </xf>
    <xf numFmtId="168" fontId="0" fillId="0" borderId="65" xfId="0" applyNumberFormat="1" applyBorder="1" applyAlignment="1">
      <alignment horizontal="left" indent="1"/>
    </xf>
    <xf numFmtId="168" fontId="0" fillId="0" borderId="70" xfId="0" applyNumberFormat="1" applyBorder="1" applyAlignment="1">
      <alignment horizontal="left" indent="1"/>
    </xf>
    <xf numFmtId="168" fontId="72" fillId="0" borderId="10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169" fontId="65" fillId="0" borderId="31" xfId="0" applyNumberFormat="1" applyFont="1" applyFill="1" applyBorder="1" applyAlignment="1">
      <alignment/>
    </xf>
    <xf numFmtId="169" fontId="65" fillId="0" borderId="25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" fillId="22" borderId="21" xfId="0" applyFont="1" applyFill="1" applyBorder="1" applyAlignment="1">
      <alignment horizontal="center" vertical="center"/>
    </xf>
    <xf numFmtId="168" fontId="7" fillId="22" borderId="22" xfId="0" applyNumberFormat="1" applyFont="1" applyFill="1" applyBorder="1" applyAlignment="1">
      <alignment horizontal="center" vertical="center"/>
    </xf>
    <xf numFmtId="217" fontId="0" fillId="0" borderId="19" xfId="0" applyNumberFormat="1" applyFont="1" applyBorder="1" applyAlignment="1">
      <alignment horizontal="center" vertical="center"/>
    </xf>
    <xf numFmtId="190" fontId="0" fillId="0" borderId="31" xfId="0" applyNumberFormat="1" applyFont="1" applyBorder="1" applyAlignment="1">
      <alignment horizontal="center" vertical="center"/>
    </xf>
    <xf numFmtId="190" fontId="0" fillId="0" borderId="25" xfId="0" applyNumberFormat="1" applyFont="1" applyBorder="1" applyAlignment="1">
      <alignment horizontal="center" vertical="center"/>
    </xf>
    <xf numFmtId="217" fontId="0" fillId="0" borderId="29" xfId="0" applyNumberFormat="1" applyFont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0" fontId="0" fillId="27" borderId="0" xfId="0" applyFill="1" applyAlignment="1">
      <alignment/>
    </xf>
    <xf numFmtId="0" fontId="11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9" fontId="1" fillId="0" borderId="14" xfId="0" applyNumberFormat="1" applyFont="1" applyBorder="1" applyAlignment="1">
      <alignment/>
    </xf>
    <xf numFmtId="194" fontId="1" fillId="22" borderId="0" xfId="0" applyNumberFormat="1" applyFont="1" applyFill="1" applyAlignment="1">
      <alignment/>
    </xf>
    <xf numFmtId="169" fontId="1" fillId="0" borderId="37" xfId="0" applyNumberFormat="1" applyFont="1" applyBorder="1" applyAlignment="1">
      <alignment/>
    </xf>
    <xf numFmtId="0" fontId="1" fillId="22" borderId="0" xfId="0" applyFont="1" applyFill="1" applyAlignment="1">
      <alignment/>
    </xf>
    <xf numFmtId="169" fontId="1" fillId="3" borderId="119" xfId="0" applyNumberFormat="1" applyFont="1" applyFill="1" applyBorder="1" applyAlignment="1">
      <alignment/>
    </xf>
    <xf numFmtId="169" fontId="1" fillId="0" borderId="11" xfId="0" applyNumberFormat="1" applyFont="1" applyBorder="1" applyAlignment="1">
      <alignment/>
    </xf>
    <xf numFmtId="169" fontId="1" fillId="3" borderId="120" xfId="0" applyNumberFormat="1" applyFont="1" applyFill="1" applyBorder="1" applyAlignment="1">
      <alignment/>
    </xf>
    <xf numFmtId="1" fontId="1" fillId="26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69" fontId="1" fillId="0" borderId="23" xfId="0" applyNumberFormat="1" applyFont="1" applyBorder="1" applyAlignment="1">
      <alignment/>
    </xf>
    <xf numFmtId="169" fontId="1" fillId="3" borderId="113" xfId="0" applyNumberFormat="1" applyFont="1" applyFill="1" applyBorder="1" applyAlignment="1">
      <alignment/>
    </xf>
    <xf numFmtId="169" fontId="1" fillId="3" borderId="115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/>
    </xf>
    <xf numFmtId="2" fontId="0" fillId="22" borderId="0" xfId="0" applyNumberFormat="1" applyFont="1" applyFill="1" applyBorder="1" applyAlignment="1">
      <alignment/>
    </xf>
    <xf numFmtId="0" fontId="0" fillId="22" borderId="12" xfId="0" applyFont="1" applyFill="1" applyBorder="1" applyAlignment="1">
      <alignment horizontal="center"/>
    </xf>
    <xf numFmtId="194" fontId="0" fillId="22" borderId="12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2" fontId="0" fillId="22" borderId="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96" fontId="2" fillId="0" borderId="0" xfId="0" applyNumberFormat="1" applyFont="1" applyBorder="1" applyAlignment="1">
      <alignment horizontal="right" vertical="center"/>
    </xf>
    <xf numFmtId="207" fontId="1" fillId="0" borderId="0" xfId="55" applyNumberFormat="1" applyFont="1" applyFill="1" applyBorder="1" applyAlignment="1">
      <alignment vertical="center" wrapText="1"/>
      <protection/>
    </xf>
    <xf numFmtId="196" fontId="2" fillId="3" borderId="0" xfId="0" applyNumberFormat="1" applyFont="1" applyFill="1" applyBorder="1" applyAlignment="1">
      <alignment horizontal="right" vertical="center"/>
    </xf>
    <xf numFmtId="190" fontId="1" fillId="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" fontId="2" fillId="3" borderId="0" xfId="0" applyNumberFormat="1" applyFont="1" applyFill="1" applyBorder="1" applyAlignment="1">
      <alignment horizontal="center"/>
    </xf>
    <xf numFmtId="190" fontId="1" fillId="3" borderId="0" xfId="0" applyNumberFormat="1" applyFont="1" applyFill="1" applyBorder="1" applyAlignment="1">
      <alignment horizontal="right"/>
    </xf>
    <xf numFmtId="0" fontId="0" fillId="29" borderId="0" xfId="0" applyFill="1" applyAlignment="1">
      <alignment/>
    </xf>
    <xf numFmtId="194" fontId="84" fillId="27" borderId="0" xfId="0" applyNumberFormat="1" applyFont="1" applyFill="1" applyAlignment="1">
      <alignment horizontal="center"/>
    </xf>
    <xf numFmtId="194" fontId="2" fillId="27" borderId="0" xfId="0" applyNumberFormat="1" applyFont="1" applyFill="1" applyAlignment="1">
      <alignment/>
    </xf>
    <xf numFmtId="207" fontId="1" fillId="0" borderId="20" xfId="55" applyNumberFormat="1" applyFont="1" applyFill="1" applyBorder="1" applyAlignment="1">
      <alignment horizontal="left" vertical="center" wrapText="1" indent="1"/>
      <protection/>
    </xf>
    <xf numFmtId="0" fontId="58" fillId="0" borderId="0" xfId="0" applyFont="1" applyFill="1" applyAlignment="1">
      <alignment horizontal="center" vertical="center"/>
    </xf>
    <xf numFmtId="0" fontId="0" fillId="0" borderId="106" xfId="0" applyFont="1" applyFill="1" applyBorder="1" applyAlignment="1">
      <alignment horizontal="left" indent="1"/>
    </xf>
    <xf numFmtId="0" fontId="0" fillId="0" borderId="126" xfId="0" applyFont="1" applyFill="1" applyBorder="1" applyAlignment="1">
      <alignment horizontal="left" indent="1"/>
    </xf>
    <xf numFmtId="0" fontId="0" fillId="0" borderId="127" xfId="0" applyFont="1" applyFill="1" applyBorder="1" applyAlignment="1">
      <alignment horizontal="left" indent="1"/>
    </xf>
    <xf numFmtId="0" fontId="17" fillId="0" borderId="127" xfId="0" applyFont="1" applyBorder="1" applyAlignment="1">
      <alignment horizontal="center"/>
    </xf>
    <xf numFmtId="0" fontId="0" fillId="0" borderId="128" xfId="0" applyFont="1" applyFill="1" applyBorder="1" applyAlignment="1">
      <alignment horizontal="left" indent="1"/>
    </xf>
    <xf numFmtId="0" fontId="17" fillId="0" borderId="129" xfId="0" applyFont="1" applyBorder="1" applyAlignment="1">
      <alignment horizontal="center"/>
    </xf>
    <xf numFmtId="0" fontId="17" fillId="0" borderId="116" xfId="0" applyFont="1" applyBorder="1" applyAlignment="1">
      <alignment horizontal="center"/>
    </xf>
    <xf numFmtId="2" fontId="2" fillId="0" borderId="130" xfId="0" applyNumberFormat="1" applyFont="1" applyBorder="1" applyAlignment="1">
      <alignment horizontal="center"/>
    </xf>
    <xf numFmtId="190" fontId="1" fillId="0" borderId="131" xfId="0" applyNumberFormat="1" applyFont="1" applyBorder="1" applyAlignment="1">
      <alignment horizontal="right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2" fontId="2" fillId="0" borderId="54" xfId="0" applyNumberFormat="1" applyFont="1" applyBorder="1" applyAlignment="1">
      <alignment horizontal="center"/>
    </xf>
    <xf numFmtId="0" fontId="2" fillId="22" borderId="0" xfId="0" applyFont="1" applyFill="1" applyAlignment="1">
      <alignment/>
    </xf>
    <xf numFmtId="2" fontId="2" fillId="3" borderId="64" xfId="0" applyNumberFormat="1" applyFont="1" applyFill="1" applyBorder="1" applyAlignment="1">
      <alignment horizontal="center"/>
    </xf>
    <xf numFmtId="0" fontId="14" fillId="0" borderId="92" xfId="0" applyFont="1" applyBorder="1" applyAlignment="1">
      <alignment horizontal="left" vertical="center" indent="1"/>
    </xf>
    <xf numFmtId="0" fontId="14" fillId="0" borderId="95" xfId="0" applyFont="1" applyBorder="1" applyAlignment="1">
      <alignment horizontal="left" vertical="center" indent="1"/>
    </xf>
    <xf numFmtId="0" fontId="14" fillId="0" borderId="96" xfId="0" applyFont="1" applyBorder="1" applyAlignment="1">
      <alignment horizontal="left" vertical="center" indent="1"/>
    </xf>
    <xf numFmtId="0" fontId="0" fillId="0" borderId="92" xfId="0" applyFont="1" applyFill="1" applyBorder="1" applyAlignment="1">
      <alignment horizontal="left" vertical="center" indent="1"/>
    </xf>
    <xf numFmtId="0" fontId="0" fillId="0" borderId="95" xfId="0" applyFont="1" applyFill="1" applyBorder="1" applyAlignment="1">
      <alignment horizontal="left" vertical="center" indent="1"/>
    </xf>
    <xf numFmtId="0" fontId="0" fillId="0" borderId="96" xfId="0" applyFont="1" applyFill="1" applyBorder="1" applyAlignment="1">
      <alignment horizontal="left" vertical="center" indent="1"/>
    </xf>
    <xf numFmtId="0" fontId="0" fillId="0" borderId="93" xfId="0" applyFont="1" applyFill="1" applyBorder="1" applyAlignment="1">
      <alignment horizontal="left" vertical="center" indent="1"/>
    </xf>
    <xf numFmtId="0" fontId="0" fillId="0" borderId="132" xfId="0" applyFont="1" applyFill="1" applyBorder="1" applyAlignment="1">
      <alignment horizontal="left" vertical="center" indent="1"/>
    </xf>
    <xf numFmtId="0" fontId="0" fillId="0" borderId="133" xfId="0" applyFont="1" applyFill="1" applyBorder="1" applyAlignment="1">
      <alignment horizontal="left" vertical="center" indent="1"/>
    </xf>
    <xf numFmtId="0" fontId="0" fillId="0" borderId="89" xfId="0" applyFont="1" applyFill="1" applyBorder="1" applyAlignment="1">
      <alignment horizontal="left"/>
    </xf>
    <xf numFmtId="0" fontId="0" fillId="0" borderId="97" xfId="0" applyFont="1" applyFill="1" applyBorder="1" applyAlignment="1">
      <alignment horizontal="left"/>
    </xf>
    <xf numFmtId="0" fontId="0" fillId="0" borderId="98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0" fontId="0" fillId="0" borderId="95" xfId="0" applyFont="1" applyFill="1" applyBorder="1" applyAlignment="1">
      <alignment horizontal="left"/>
    </xf>
    <xf numFmtId="0" fontId="0" fillId="0" borderId="96" xfId="0" applyFont="1" applyFill="1" applyBorder="1" applyAlignment="1">
      <alignment horizontal="left"/>
    </xf>
    <xf numFmtId="0" fontId="0" fillId="0" borderId="93" xfId="0" applyFont="1" applyFill="1" applyBorder="1" applyAlignment="1">
      <alignment horizontal="left"/>
    </xf>
    <xf numFmtId="0" fontId="0" fillId="0" borderId="132" xfId="0" applyFont="1" applyFill="1" applyBorder="1" applyAlignment="1">
      <alignment horizontal="left"/>
    </xf>
    <xf numFmtId="0" fontId="0" fillId="0" borderId="133" xfId="0" applyFont="1" applyFill="1" applyBorder="1" applyAlignment="1">
      <alignment horizontal="left"/>
    </xf>
    <xf numFmtId="0" fontId="59" fillId="0" borderId="13" xfId="0" applyFont="1" applyBorder="1" applyAlignment="1">
      <alignment horizontal="center" vertical="center" wrapText="1"/>
    </xf>
    <xf numFmtId="0" fontId="14" fillId="22" borderId="61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center" vertical="center"/>
    </xf>
    <xf numFmtId="0" fontId="14" fillId="22" borderId="134" xfId="0" applyFont="1" applyFill="1" applyBorder="1" applyAlignment="1">
      <alignment horizontal="center" vertical="center"/>
    </xf>
    <xf numFmtId="0" fontId="14" fillId="22" borderId="118" xfId="0" applyFont="1" applyFill="1" applyBorder="1" applyAlignment="1">
      <alignment horizontal="center" vertical="center"/>
    </xf>
    <xf numFmtId="0" fontId="14" fillId="22" borderId="60" xfId="0" applyFont="1" applyFill="1" applyBorder="1" applyAlignment="1">
      <alignment horizontal="center" vertical="center"/>
    </xf>
    <xf numFmtId="0" fontId="14" fillId="22" borderId="59" xfId="0" applyFont="1" applyFill="1" applyBorder="1" applyAlignment="1">
      <alignment horizontal="center" vertical="center"/>
    </xf>
    <xf numFmtId="168" fontId="14" fillId="22" borderId="63" xfId="0" applyNumberFormat="1" applyFont="1" applyFill="1" applyBorder="1" applyAlignment="1">
      <alignment horizontal="center" vertical="center"/>
    </xf>
    <xf numFmtId="168" fontId="14" fillId="22" borderId="37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right" indent="1"/>
    </xf>
    <xf numFmtId="0" fontId="14" fillId="22" borderId="135" xfId="0" applyFont="1" applyFill="1" applyBorder="1" applyAlignment="1">
      <alignment horizontal="center" vertical="center"/>
    </xf>
    <xf numFmtId="0" fontId="14" fillId="22" borderId="136" xfId="0" applyFont="1" applyFill="1" applyBorder="1" applyAlignment="1">
      <alignment horizontal="center" vertical="center"/>
    </xf>
    <xf numFmtId="0" fontId="14" fillId="22" borderId="57" xfId="0" applyFont="1" applyFill="1" applyBorder="1" applyAlignment="1">
      <alignment horizontal="center" vertical="center"/>
    </xf>
    <xf numFmtId="168" fontId="14" fillId="22" borderId="35" xfId="0" applyNumberFormat="1" applyFont="1" applyFill="1" applyBorder="1" applyAlignment="1">
      <alignment horizontal="center" vertical="center"/>
    </xf>
    <xf numFmtId="168" fontId="14" fillId="22" borderId="11" xfId="0" applyNumberFormat="1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168" fontId="14" fillId="3" borderId="35" xfId="0" applyNumberFormat="1" applyFont="1" applyFill="1" applyBorder="1" applyAlignment="1">
      <alignment horizontal="center" vertical="center"/>
    </xf>
    <xf numFmtId="168" fontId="14" fillId="3" borderId="11" xfId="0" applyNumberFormat="1" applyFont="1" applyFill="1" applyBorder="1" applyAlignment="1">
      <alignment horizontal="center" vertical="center"/>
    </xf>
    <xf numFmtId="0" fontId="17" fillId="22" borderId="137" xfId="0" applyFont="1" applyFill="1" applyBorder="1" applyAlignment="1">
      <alignment horizontal="center" vertical="center"/>
    </xf>
    <xf numFmtId="0" fontId="17" fillId="22" borderId="8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17" fillId="3" borderId="135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indent="1"/>
    </xf>
    <xf numFmtId="0" fontId="0" fillId="0" borderId="51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2" fontId="0" fillId="0" borderId="17" xfId="0" applyNumberFormat="1" applyFont="1" applyFill="1" applyBorder="1" applyAlignment="1">
      <alignment horizontal="center" vertical="center"/>
    </xf>
    <xf numFmtId="190" fontId="1" fillId="0" borderId="70" xfId="0" applyNumberFormat="1" applyFont="1" applyBorder="1" applyAlignment="1">
      <alignment horizontal="right"/>
    </xf>
    <xf numFmtId="0" fontId="0" fillId="0" borderId="92" xfId="0" applyFont="1" applyFill="1" applyBorder="1" applyAlignment="1">
      <alignment horizontal="left" wrapText="1" indent="1"/>
    </xf>
    <xf numFmtId="0" fontId="0" fillId="0" borderId="95" xfId="0" applyFont="1" applyFill="1" applyBorder="1" applyAlignment="1">
      <alignment horizontal="left" wrapText="1" indent="1"/>
    </xf>
    <xf numFmtId="0" fontId="0" fillId="0" borderId="96" xfId="0" applyFont="1" applyFill="1" applyBorder="1" applyAlignment="1">
      <alignment horizontal="left" wrapText="1" indent="1"/>
    </xf>
    <xf numFmtId="0" fontId="9" fillId="0" borderId="138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right" indent="1"/>
    </xf>
    <xf numFmtId="0" fontId="0" fillId="0" borderId="62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22" borderId="83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72" xfId="0" applyFont="1" applyFill="1" applyBorder="1" applyAlignment="1">
      <alignment horizontal="center"/>
    </xf>
    <xf numFmtId="168" fontId="14" fillId="22" borderId="82" xfId="0" applyNumberFormat="1" applyFont="1" applyFill="1" applyBorder="1" applyAlignment="1">
      <alignment horizontal="center" vertical="center"/>
    </xf>
    <xf numFmtId="168" fontId="14" fillId="22" borderId="73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left" wrapText="1" indent="1"/>
    </xf>
    <xf numFmtId="0" fontId="0" fillId="0" borderId="74" xfId="0" applyFont="1" applyFill="1" applyBorder="1" applyAlignment="1">
      <alignment horizontal="left" wrapText="1" indent="1"/>
    </xf>
    <xf numFmtId="0" fontId="0" fillId="0" borderId="79" xfId="0" applyFont="1" applyFill="1" applyBorder="1" applyAlignment="1">
      <alignment horizontal="left" wrapText="1" indent="1"/>
    </xf>
    <xf numFmtId="0" fontId="0" fillId="0" borderId="92" xfId="0" applyFont="1" applyBorder="1" applyAlignment="1">
      <alignment horizontal="left" vertical="center" indent="1"/>
    </xf>
    <xf numFmtId="0" fontId="0" fillId="0" borderId="95" xfId="0" applyFont="1" applyBorder="1" applyAlignment="1">
      <alignment horizontal="left" vertical="center" indent="1"/>
    </xf>
    <xf numFmtId="0" fontId="0" fillId="0" borderId="96" xfId="0" applyFont="1" applyBorder="1" applyAlignment="1">
      <alignment horizontal="left" vertical="center" indent="1"/>
    </xf>
    <xf numFmtId="0" fontId="0" fillId="0" borderId="92" xfId="0" applyFont="1" applyFill="1" applyBorder="1" applyAlignment="1">
      <alignment horizontal="left" indent="1"/>
    </xf>
    <xf numFmtId="0" fontId="0" fillId="0" borderId="95" xfId="0" applyFont="1" applyFill="1" applyBorder="1" applyAlignment="1">
      <alignment horizontal="left" indent="1"/>
    </xf>
    <xf numFmtId="0" fontId="0" fillId="0" borderId="96" xfId="0" applyFont="1" applyFill="1" applyBorder="1" applyAlignment="1">
      <alignment horizontal="left" indent="1"/>
    </xf>
    <xf numFmtId="0" fontId="3" fillId="31" borderId="83" xfId="0" applyFont="1" applyFill="1" applyBorder="1" applyAlignment="1">
      <alignment horizontal="left" vertical="center" indent="1"/>
    </xf>
    <xf numFmtId="0" fontId="3" fillId="31" borderId="13" xfId="0" applyFont="1" applyFill="1" applyBorder="1" applyAlignment="1">
      <alignment horizontal="left" vertical="center" indent="1"/>
    </xf>
    <xf numFmtId="0" fontId="3" fillId="31" borderId="72" xfId="0" applyFont="1" applyFill="1" applyBorder="1" applyAlignment="1">
      <alignment horizontal="left" vertical="center" indent="1"/>
    </xf>
    <xf numFmtId="0" fontId="0" fillId="0" borderId="90" xfId="0" applyFont="1" applyFill="1" applyBorder="1" applyAlignment="1">
      <alignment horizontal="left" wrapText="1" indent="1"/>
    </xf>
    <xf numFmtId="0" fontId="0" fillId="0" borderId="99" xfId="0" applyFont="1" applyFill="1" applyBorder="1" applyAlignment="1">
      <alignment horizontal="left" wrapText="1" indent="1"/>
    </xf>
    <xf numFmtId="0" fontId="0" fillId="0" borderId="80" xfId="0" applyFont="1" applyFill="1" applyBorder="1" applyAlignment="1">
      <alignment horizontal="left" wrapText="1" indent="1"/>
    </xf>
    <xf numFmtId="2" fontId="0" fillId="0" borderId="56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left" indent="1"/>
    </xf>
    <xf numFmtId="0" fontId="0" fillId="0" borderId="106" xfId="0" applyFont="1" applyFill="1" applyBorder="1" applyAlignment="1">
      <alignment horizontal="left" indent="1"/>
    </xf>
    <xf numFmtId="0" fontId="0" fillId="0" borderId="76" xfId="0" applyFont="1" applyFill="1" applyBorder="1" applyAlignment="1">
      <alignment horizontal="left" indent="1"/>
    </xf>
    <xf numFmtId="0" fontId="0" fillId="0" borderId="124" xfId="0" applyFont="1" applyFill="1" applyBorder="1" applyAlignment="1">
      <alignment horizontal="left" indent="1"/>
    </xf>
    <xf numFmtId="2" fontId="0" fillId="0" borderId="137" xfId="0" applyNumberFormat="1" applyFont="1" applyBorder="1" applyAlignment="1">
      <alignment horizontal="center"/>
    </xf>
    <xf numFmtId="2" fontId="0" fillId="0" borderId="8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right" indent="1"/>
    </xf>
    <xf numFmtId="1" fontId="1" fillId="0" borderId="96" xfId="0" applyNumberFormat="1" applyFont="1" applyBorder="1" applyAlignment="1">
      <alignment horizontal="right" indent="1"/>
    </xf>
    <xf numFmtId="1" fontId="1" fillId="0" borderId="93" xfId="0" applyNumberFormat="1" applyFont="1" applyBorder="1" applyAlignment="1">
      <alignment horizontal="right" indent="1"/>
    </xf>
    <xf numFmtId="1" fontId="1" fillId="0" borderId="133" xfId="0" applyNumberFormat="1" applyFont="1" applyBorder="1" applyAlignment="1">
      <alignment horizontal="right" indent="1"/>
    </xf>
    <xf numFmtId="0" fontId="0" fillId="0" borderId="19" xfId="0" applyFont="1" applyFill="1" applyBorder="1" applyAlignment="1">
      <alignment horizontal="left" indent="1"/>
    </xf>
    <xf numFmtId="0" fontId="0" fillId="0" borderId="102" xfId="0" applyFont="1" applyFill="1" applyBorder="1" applyAlignment="1">
      <alignment horizontal="left" indent="1"/>
    </xf>
    <xf numFmtId="0" fontId="0" fillId="0" borderId="63" xfId="0" applyFont="1" applyFill="1" applyBorder="1" applyAlignment="1">
      <alignment horizontal="left" indent="1"/>
    </xf>
    <xf numFmtId="0" fontId="0" fillId="0" borderId="123" xfId="0" applyFont="1" applyFill="1" applyBorder="1" applyAlignment="1">
      <alignment horizontal="left" indent="1"/>
    </xf>
    <xf numFmtId="0" fontId="0" fillId="0" borderId="91" xfId="0" applyFont="1" applyFill="1" applyBorder="1" applyAlignment="1">
      <alignment horizontal="left" indent="1"/>
    </xf>
    <xf numFmtId="0" fontId="0" fillId="0" borderId="74" xfId="0" applyFont="1" applyFill="1" applyBorder="1" applyAlignment="1">
      <alignment horizontal="left" indent="1"/>
    </xf>
    <xf numFmtId="0" fontId="0" fillId="0" borderId="79" xfId="0" applyFont="1" applyFill="1" applyBorder="1" applyAlignment="1">
      <alignment horizontal="left" indent="1"/>
    </xf>
    <xf numFmtId="0" fontId="14" fillId="22" borderId="82" xfId="0" applyFont="1" applyFill="1" applyBorder="1" applyAlignment="1">
      <alignment horizontal="center" vertical="center"/>
    </xf>
    <xf numFmtId="0" fontId="14" fillId="22" borderId="100" xfId="0" applyFont="1" applyFill="1" applyBorder="1" applyAlignment="1">
      <alignment horizontal="center" vertical="center"/>
    </xf>
    <xf numFmtId="0" fontId="14" fillId="22" borderId="73" xfId="0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right" indent="1"/>
    </xf>
    <xf numFmtId="2" fontId="0" fillId="3" borderId="26" xfId="0" applyNumberFormat="1" applyFont="1" applyFill="1" applyBorder="1" applyAlignment="1">
      <alignment horizontal="right" indent="1"/>
    </xf>
    <xf numFmtId="2" fontId="0" fillId="3" borderId="16" xfId="0" applyNumberFormat="1" applyFont="1" applyFill="1" applyBorder="1" applyAlignment="1">
      <alignment horizontal="right" indent="1"/>
    </xf>
    <xf numFmtId="0" fontId="0" fillId="0" borderId="30" xfId="0" applyFont="1" applyFill="1" applyBorder="1" applyAlignment="1">
      <alignment horizontal="left" indent="1"/>
    </xf>
    <xf numFmtId="0" fontId="0" fillId="0" borderId="104" xfId="0" applyFont="1" applyFill="1" applyBorder="1" applyAlignment="1">
      <alignment horizontal="left" indent="1"/>
    </xf>
    <xf numFmtId="2" fontId="0" fillId="3" borderId="17" xfId="0" applyNumberFormat="1" applyFont="1" applyFill="1" applyBorder="1" applyAlignment="1">
      <alignment horizontal="right" indent="1"/>
    </xf>
    <xf numFmtId="0" fontId="17" fillId="3" borderId="137" xfId="0" applyFont="1" applyFill="1" applyBorder="1" applyAlignment="1">
      <alignment horizontal="center" vertical="center"/>
    </xf>
    <xf numFmtId="0" fontId="17" fillId="3" borderId="81" xfId="0" applyFont="1" applyFill="1" applyBorder="1" applyAlignment="1">
      <alignment horizontal="center" vertical="center"/>
    </xf>
    <xf numFmtId="2" fontId="0" fillId="3" borderId="32" xfId="0" applyNumberFormat="1" applyFont="1" applyFill="1" applyBorder="1" applyAlignment="1">
      <alignment horizontal="right" indent="1"/>
    </xf>
    <xf numFmtId="0" fontId="0" fillId="0" borderId="33" xfId="0" applyFont="1" applyFill="1" applyBorder="1" applyAlignment="1">
      <alignment horizontal="left" indent="1"/>
    </xf>
    <xf numFmtId="0" fontId="0" fillId="0" borderId="105" xfId="0" applyFont="1" applyFill="1" applyBorder="1" applyAlignment="1">
      <alignment horizontal="left" indent="1"/>
    </xf>
    <xf numFmtId="0" fontId="0" fillId="0" borderId="89" xfId="0" applyFont="1" applyBorder="1" applyAlignment="1">
      <alignment horizontal="left" vertical="center" indent="1"/>
    </xf>
    <xf numFmtId="0" fontId="0" fillId="0" borderId="97" xfId="0" applyFont="1" applyBorder="1" applyAlignment="1">
      <alignment horizontal="left" vertical="center" indent="1"/>
    </xf>
    <xf numFmtId="0" fontId="0" fillId="0" borderId="98" xfId="0" applyFont="1" applyBorder="1" applyAlignment="1">
      <alignment horizontal="left" vertical="center" indent="1"/>
    </xf>
    <xf numFmtId="0" fontId="0" fillId="0" borderId="93" xfId="0" applyFont="1" applyBorder="1" applyAlignment="1">
      <alignment horizontal="left" vertical="center" indent="1"/>
    </xf>
    <xf numFmtId="0" fontId="0" fillId="0" borderId="132" xfId="0" applyFont="1" applyBorder="1" applyAlignment="1">
      <alignment horizontal="left" vertical="center" indent="1"/>
    </xf>
    <xf numFmtId="0" fontId="0" fillId="0" borderId="133" xfId="0" applyFont="1" applyBorder="1" applyAlignment="1">
      <alignment horizontal="left" vertical="center" indent="1"/>
    </xf>
    <xf numFmtId="0" fontId="0" fillId="22" borderId="82" xfId="0" applyFont="1" applyFill="1" applyBorder="1" applyAlignment="1">
      <alignment horizontal="center"/>
    </xf>
    <xf numFmtId="0" fontId="0" fillId="22" borderId="73" xfId="0" applyFont="1" applyFill="1" applyBorder="1" applyAlignment="1">
      <alignment horizontal="center"/>
    </xf>
    <xf numFmtId="168" fontId="14" fillId="3" borderId="82" xfId="0" applyNumberFormat="1" applyFont="1" applyFill="1" applyBorder="1" applyAlignment="1">
      <alignment horizontal="center" vertical="center"/>
    </xf>
    <xf numFmtId="168" fontId="14" fillId="3" borderId="73" xfId="0" applyNumberFormat="1" applyFont="1" applyFill="1" applyBorder="1" applyAlignment="1">
      <alignment horizontal="center" vertical="center"/>
    </xf>
    <xf numFmtId="0" fontId="0" fillId="0" borderId="92" xfId="55" applyNumberFormat="1" applyFont="1" applyFill="1" applyBorder="1" applyAlignment="1">
      <alignment horizontal="left" vertical="center" wrapText="1"/>
      <protection/>
    </xf>
    <xf numFmtId="0" fontId="0" fillId="0" borderId="95" xfId="55" applyNumberFormat="1" applyFont="1" applyFill="1" applyBorder="1" applyAlignment="1">
      <alignment horizontal="left" vertical="center" wrapText="1"/>
      <protection/>
    </xf>
    <xf numFmtId="0" fontId="0" fillId="0" borderId="96" xfId="55" applyNumberFormat="1" applyFont="1" applyFill="1" applyBorder="1" applyAlignment="1">
      <alignment horizontal="left" vertical="center" wrapText="1"/>
      <protection/>
    </xf>
    <xf numFmtId="2" fontId="0" fillId="0" borderId="51" xfId="0" applyNumberFormat="1" applyFont="1" applyFill="1" applyBorder="1" applyAlignment="1">
      <alignment horizontal="right" indent="1"/>
    </xf>
    <xf numFmtId="2" fontId="0" fillId="0" borderId="15" xfId="0" applyNumberFormat="1" applyFont="1" applyFill="1" applyBorder="1" applyAlignment="1">
      <alignment horizontal="right" indent="1"/>
    </xf>
    <xf numFmtId="0" fontId="0" fillId="0" borderId="5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right" indent="1"/>
    </xf>
    <xf numFmtId="0" fontId="0" fillId="0" borderId="139" xfId="0" applyFont="1" applyFill="1" applyBorder="1" applyAlignment="1">
      <alignment horizontal="left" indent="1"/>
    </xf>
    <xf numFmtId="0" fontId="0" fillId="0" borderId="138" xfId="0" applyFont="1" applyFill="1" applyBorder="1" applyAlignment="1">
      <alignment horizontal="left" indent="1"/>
    </xf>
    <xf numFmtId="0" fontId="0" fillId="0" borderId="140" xfId="0" applyFont="1" applyFill="1" applyBorder="1" applyAlignment="1">
      <alignment horizontal="left" indent="1"/>
    </xf>
    <xf numFmtId="0" fontId="0" fillId="0" borderId="137" xfId="0" applyFont="1" applyFill="1" applyBorder="1" applyAlignment="1">
      <alignment horizontal="left" wrapText="1" indent="1"/>
    </xf>
    <xf numFmtId="0" fontId="0" fillId="0" borderId="141" xfId="0" applyFont="1" applyFill="1" applyBorder="1" applyAlignment="1">
      <alignment horizontal="left" wrapText="1" indent="1"/>
    </xf>
    <xf numFmtId="0" fontId="0" fillId="0" borderId="81" xfId="0" applyFont="1" applyFill="1" applyBorder="1" applyAlignment="1">
      <alignment horizontal="left" wrapText="1" indent="1"/>
    </xf>
    <xf numFmtId="0" fontId="0" fillId="0" borderId="139" xfId="0" applyFont="1" applyFill="1" applyBorder="1" applyAlignment="1">
      <alignment horizontal="left" wrapText="1" indent="1"/>
    </xf>
    <xf numFmtId="0" fontId="0" fillId="0" borderId="138" xfId="0" applyFont="1" applyFill="1" applyBorder="1" applyAlignment="1">
      <alignment horizontal="left" wrapText="1" indent="1"/>
    </xf>
    <xf numFmtId="0" fontId="0" fillId="0" borderId="140" xfId="0" applyFont="1" applyFill="1" applyBorder="1" applyAlignment="1">
      <alignment horizontal="left" wrapText="1" indent="1"/>
    </xf>
    <xf numFmtId="0" fontId="0" fillId="0" borderId="93" xfId="55" applyNumberFormat="1" applyFont="1" applyFill="1" applyBorder="1" applyAlignment="1">
      <alignment horizontal="left" vertical="center" wrapText="1"/>
      <protection/>
    </xf>
    <xf numFmtId="0" fontId="0" fillId="0" borderId="132" xfId="55" applyNumberFormat="1" applyFont="1" applyFill="1" applyBorder="1" applyAlignment="1">
      <alignment horizontal="left" vertical="center" wrapText="1"/>
      <protection/>
    </xf>
    <xf numFmtId="0" fontId="0" fillId="0" borderId="133" xfId="55" applyNumberFormat="1" applyFont="1" applyFill="1" applyBorder="1" applyAlignment="1">
      <alignment horizontal="left" vertical="center" wrapText="1"/>
      <protection/>
    </xf>
    <xf numFmtId="0" fontId="0" fillId="0" borderId="33" xfId="0" applyFont="1" applyBorder="1" applyAlignment="1">
      <alignment horizontal="left"/>
    </xf>
    <xf numFmtId="0" fontId="0" fillId="0" borderId="10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68" fontId="61" fillId="0" borderId="0" xfId="0" applyNumberFormat="1" applyFont="1" applyAlignment="1">
      <alignment horizontal="center"/>
    </xf>
    <xf numFmtId="0" fontId="0" fillId="0" borderId="15" xfId="0" applyFont="1" applyFill="1" applyBorder="1" applyAlignment="1">
      <alignment horizontal="left" indent="1"/>
    </xf>
    <xf numFmtId="0" fontId="0" fillId="0" borderId="52" xfId="0" applyFont="1" applyBorder="1" applyAlignment="1">
      <alignment horizontal="left"/>
    </xf>
    <xf numFmtId="0" fontId="0" fillId="0" borderId="101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 indent="1"/>
    </xf>
    <xf numFmtId="0" fontId="0" fillId="0" borderId="74" xfId="0" applyFont="1" applyBorder="1" applyAlignment="1">
      <alignment horizontal="left" vertical="center" indent="1"/>
    </xf>
    <xf numFmtId="0" fontId="0" fillId="0" borderId="79" xfId="0" applyFont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indent="1"/>
    </xf>
    <xf numFmtId="2" fontId="0" fillId="0" borderId="32" xfId="0" applyNumberFormat="1" applyFont="1" applyFill="1" applyBorder="1" applyAlignment="1">
      <alignment horizontal="right" indent="1"/>
    </xf>
    <xf numFmtId="0" fontId="0" fillId="0" borderId="18" xfId="0" applyFont="1" applyFill="1" applyBorder="1" applyAlignment="1">
      <alignment horizontal="left" indent="1"/>
    </xf>
    <xf numFmtId="2" fontId="0" fillId="0" borderId="18" xfId="0" applyNumberFormat="1" applyFont="1" applyFill="1" applyBorder="1" applyAlignment="1">
      <alignment horizontal="right" indent="1"/>
    </xf>
    <xf numFmtId="0" fontId="18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/>
    </xf>
    <xf numFmtId="0" fontId="0" fillId="0" borderId="10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4" fillId="22" borderId="58" xfId="0" applyFont="1" applyFill="1" applyBorder="1" applyAlignment="1">
      <alignment horizontal="center" vertical="center"/>
    </xf>
    <xf numFmtId="0" fontId="14" fillId="22" borderId="5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right" indent="1"/>
    </xf>
    <xf numFmtId="0" fontId="0" fillId="0" borderId="89" xfId="0" applyFont="1" applyFill="1" applyBorder="1" applyAlignment="1">
      <alignment horizontal="left" indent="1"/>
    </xf>
    <xf numFmtId="0" fontId="0" fillId="0" borderId="97" xfId="0" applyFont="1" applyFill="1" applyBorder="1" applyAlignment="1">
      <alignment horizontal="left" indent="1"/>
    </xf>
    <xf numFmtId="0" fontId="0" fillId="0" borderId="98" xfId="0" applyFont="1" applyFill="1" applyBorder="1" applyAlignment="1">
      <alignment horizontal="left" indent="1"/>
    </xf>
    <xf numFmtId="0" fontId="0" fillId="0" borderId="93" xfId="0" applyFont="1" applyFill="1" applyBorder="1" applyAlignment="1">
      <alignment horizontal="left" indent="1"/>
    </xf>
    <xf numFmtId="0" fontId="0" fillId="0" borderId="132" xfId="0" applyFont="1" applyFill="1" applyBorder="1" applyAlignment="1">
      <alignment horizontal="left" indent="1"/>
    </xf>
    <xf numFmtId="0" fontId="0" fillId="0" borderId="133" xfId="0" applyFont="1" applyFill="1" applyBorder="1" applyAlignment="1">
      <alignment horizontal="left" indent="1"/>
    </xf>
    <xf numFmtId="0" fontId="0" fillId="0" borderId="142" xfId="0" applyFont="1" applyFill="1" applyBorder="1" applyAlignment="1">
      <alignment horizontal="left" indent="1"/>
    </xf>
    <xf numFmtId="0" fontId="0" fillId="0" borderId="143" xfId="0" applyFont="1" applyFill="1" applyBorder="1" applyAlignment="1">
      <alignment horizontal="left" indent="1"/>
    </xf>
    <xf numFmtId="0" fontId="0" fillId="0" borderId="144" xfId="0" applyFont="1" applyFill="1" applyBorder="1" applyAlignment="1">
      <alignment horizontal="left" indent="1"/>
    </xf>
    <xf numFmtId="0" fontId="0" fillId="0" borderId="83" xfId="55" applyNumberFormat="1" applyFont="1" applyFill="1" applyBorder="1" applyAlignment="1">
      <alignment horizontal="left" vertical="center" wrapText="1"/>
      <protection/>
    </xf>
    <xf numFmtId="0" fontId="0" fillId="0" borderId="13" xfId="55" applyNumberFormat="1" applyFont="1" applyFill="1" applyBorder="1" applyAlignment="1">
      <alignment horizontal="left" vertical="center" wrapText="1"/>
      <protection/>
    </xf>
    <xf numFmtId="0" fontId="0" fillId="0" borderId="72" xfId="55" applyNumberFormat="1" applyFont="1" applyFill="1" applyBorder="1" applyAlignment="1">
      <alignment horizontal="left" vertical="center" wrapText="1"/>
      <protection/>
    </xf>
    <xf numFmtId="2" fontId="0" fillId="22" borderId="15" xfId="0" applyNumberFormat="1" applyFont="1" applyFill="1" applyBorder="1" applyAlignment="1">
      <alignment horizontal="right" indent="1"/>
    </xf>
    <xf numFmtId="0" fontId="0" fillId="0" borderId="6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4" xfId="0" applyFont="1" applyBorder="1" applyAlignment="1">
      <alignment horizontal="left" vertical="center"/>
    </xf>
    <xf numFmtId="190" fontId="1" fillId="0" borderId="65" xfId="0" applyNumberFormat="1" applyFont="1" applyBorder="1" applyAlignment="1">
      <alignment horizontal="right"/>
    </xf>
    <xf numFmtId="190" fontId="1" fillId="0" borderId="15" xfId="0" applyNumberFormat="1" applyFont="1" applyBorder="1" applyAlignment="1">
      <alignment horizontal="right"/>
    </xf>
    <xf numFmtId="0" fontId="0" fillId="0" borderId="90" xfId="0" applyFont="1" applyBorder="1" applyAlignment="1">
      <alignment horizontal="left" vertical="center" indent="1"/>
    </xf>
    <xf numFmtId="0" fontId="0" fillId="0" borderId="99" xfId="0" applyFont="1" applyBorder="1" applyAlignment="1">
      <alignment horizontal="left" vertical="center" indent="1"/>
    </xf>
    <xf numFmtId="0" fontId="0" fillId="0" borderId="80" xfId="0" applyFont="1" applyBorder="1" applyAlignment="1">
      <alignment horizontal="left" vertical="center" indent="1"/>
    </xf>
    <xf numFmtId="0" fontId="14" fillId="0" borderId="90" xfId="0" applyFont="1" applyBorder="1" applyAlignment="1">
      <alignment horizontal="left" vertical="center" indent="1"/>
    </xf>
    <xf numFmtId="0" fontId="14" fillId="0" borderId="99" xfId="0" applyFont="1" applyBorder="1" applyAlignment="1">
      <alignment horizontal="left" vertical="center" indent="1"/>
    </xf>
    <xf numFmtId="0" fontId="14" fillId="0" borderId="80" xfId="0" applyFont="1" applyBorder="1" applyAlignment="1">
      <alignment horizontal="left" vertical="center" indent="1"/>
    </xf>
    <xf numFmtId="0" fontId="1" fillId="0" borderId="92" xfId="0" applyFont="1" applyBorder="1" applyAlignment="1">
      <alignment horizontal="left" vertical="center" indent="2"/>
    </xf>
    <xf numFmtId="0" fontId="1" fillId="0" borderId="95" xfId="0" applyFont="1" applyBorder="1" applyAlignment="1">
      <alignment horizontal="left" vertical="center" indent="2"/>
    </xf>
    <xf numFmtId="0" fontId="1" fillId="0" borderId="96" xfId="0" applyFont="1" applyBorder="1" applyAlignment="1">
      <alignment horizontal="left" vertical="center" indent="2"/>
    </xf>
    <xf numFmtId="1" fontId="1" fillId="0" borderId="134" xfId="0" applyNumberFormat="1" applyFont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0" borderId="134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0" fontId="14" fillId="0" borderId="118" xfId="0" applyFont="1" applyBorder="1" applyAlignment="1">
      <alignment horizontal="left" vertical="center" indent="1"/>
    </xf>
    <xf numFmtId="0" fontId="14" fillId="0" borderId="60" xfId="0" applyFont="1" applyBorder="1" applyAlignment="1">
      <alignment horizontal="left" vertical="center" indent="1"/>
    </xf>
    <xf numFmtId="0" fontId="14" fillId="0" borderId="59" xfId="0" applyFont="1" applyBorder="1" applyAlignment="1">
      <alignment horizontal="left" vertical="center" indent="1"/>
    </xf>
    <xf numFmtId="0" fontId="14" fillId="0" borderId="61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134" xfId="0" applyFont="1" applyBorder="1" applyAlignment="1">
      <alignment horizontal="left" vertical="center" indent="1"/>
    </xf>
    <xf numFmtId="1" fontId="1" fillId="22" borderId="58" xfId="0" applyNumberFormat="1" applyFont="1" applyFill="1" applyBorder="1" applyAlignment="1">
      <alignment horizontal="center" vertical="center"/>
    </xf>
    <xf numFmtId="1" fontId="1" fillId="22" borderId="62" xfId="0" applyNumberFormat="1" applyFont="1" applyFill="1" applyBorder="1" applyAlignment="1">
      <alignment horizontal="center" vertical="center"/>
    </xf>
    <xf numFmtId="0" fontId="54" fillId="0" borderId="90" xfId="0" applyFont="1" applyBorder="1" applyAlignment="1">
      <alignment horizontal="left" indent="2"/>
    </xf>
    <xf numFmtId="0" fontId="54" fillId="0" borderId="99" xfId="0" applyFont="1" applyBorder="1" applyAlignment="1">
      <alignment horizontal="left" indent="2"/>
    </xf>
    <xf numFmtId="0" fontId="54" fillId="0" borderId="80" xfId="0" applyFont="1" applyBorder="1" applyAlignment="1">
      <alignment horizontal="left" indent="2"/>
    </xf>
    <xf numFmtId="0" fontId="1" fillId="0" borderId="90" xfId="0" applyFont="1" applyBorder="1" applyAlignment="1">
      <alignment horizontal="left" vertical="center" indent="2"/>
    </xf>
    <xf numFmtId="0" fontId="1" fillId="0" borderId="99" xfId="0" applyFont="1" applyBorder="1" applyAlignment="1">
      <alignment horizontal="left" vertical="center" indent="2"/>
    </xf>
    <xf numFmtId="0" fontId="1" fillId="0" borderId="80" xfId="0" applyFont="1" applyBorder="1" applyAlignment="1">
      <alignment horizontal="left" vertical="center" indent="2"/>
    </xf>
    <xf numFmtId="0" fontId="1" fillId="0" borderId="137" xfId="0" applyFont="1" applyBorder="1" applyAlignment="1">
      <alignment horizontal="left" vertical="center" indent="2"/>
    </xf>
    <xf numFmtId="0" fontId="1" fillId="0" borderId="141" xfId="0" applyFont="1" applyBorder="1" applyAlignment="1">
      <alignment horizontal="left" vertical="center" indent="2"/>
    </xf>
    <xf numFmtId="0" fontId="1" fillId="0" borderId="81" xfId="0" applyFont="1" applyBorder="1" applyAlignment="1">
      <alignment horizontal="left" vertical="center" indent="2"/>
    </xf>
    <xf numFmtId="0" fontId="54" fillId="0" borderId="135" xfId="0" applyFont="1" applyBorder="1" applyAlignment="1">
      <alignment horizontal="left" vertical="center" wrapText="1" indent="2"/>
    </xf>
    <xf numFmtId="0" fontId="54" fillId="0" borderId="136" xfId="0" applyFont="1" applyBorder="1" applyAlignment="1">
      <alignment horizontal="left" vertical="center" wrapText="1" indent="2"/>
    </xf>
    <xf numFmtId="0" fontId="54" fillId="0" borderId="57" xfId="0" applyFont="1" applyBorder="1" applyAlignment="1">
      <alignment horizontal="left" vertical="center" wrapText="1" indent="2"/>
    </xf>
    <xf numFmtId="0" fontId="54" fillId="0" borderId="61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2"/>
    </xf>
    <xf numFmtId="0" fontId="54" fillId="0" borderId="134" xfId="0" applyFont="1" applyBorder="1" applyAlignment="1">
      <alignment horizontal="left" vertical="center" wrapText="1" indent="2"/>
    </xf>
    <xf numFmtId="0" fontId="54" fillId="0" borderId="118" xfId="0" applyFont="1" applyBorder="1" applyAlignment="1">
      <alignment horizontal="left" vertical="center" wrapText="1" indent="2"/>
    </xf>
    <xf numFmtId="0" fontId="54" fillId="0" borderId="60" xfId="0" applyFont="1" applyBorder="1" applyAlignment="1">
      <alignment horizontal="left" vertical="center" wrapText="1" indent="2"/>
    </xf>
    <xf numFmtId="0" fontId="54" fillId="0" borderId="59" xfId="0" applyFont="1" applyBorder="1" applyAlignment="1">
      <alignment horizontal="left" vertical="center" wrapText="1" indent="2"/>
    </xf>
    <xf numFmtId="0" fontId="54" fillId="0" borderId="135" xfId="0" applyFont="1" applyBorder="1" applyAlignment="1">
      <alignment horizontal="left" vertical="center"/>
    </xf>
    <xf numFmtId="0" fontId="54" fillId="0" borderId="136" xfId="0" applyFont="1" applyBorder="1" applyAlignment="1">
      <alignment horizontal="left" vertical="center"/>
    </xf>
    <xf numFmtId="0" fontId="54" fillId="0" borderId="57" xfId="0" applyFont="1" applyBorder="1" applyAlignment="1">
      <alignment horizontal="left" vertical="center"/>
    </xf>
    <xf numFmtId="0" fontId="54" fillId="0" borderId="6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34" xfId="0" applyFont="1" applyBorder="1" applyAlignment="1">
      <alignment horizontal="left" vertical="center"/>
    </xf>
    <xf numFmtId="0" fontId="54" fillId="0" borderId="8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72" xfId="0" applyFont="1" applyBorder="1" applyAlignment="1">
      <alignment horizontal="left" vertical="center"/>
    </xf>
    <xf numFmtId="0" fontId="54" fillId="0" borderId="89" xfId="0" applyFont="1" applyBorder="1" applyAlignment="1">
      <alignment horizontal="left" indent="2"/>
    </xf>
    <xf numFmtId="0" fontId="54" fillId="0" borderId="97" xfId="0" applyFont="1" applyBorder="1" applyAlignment="1">
      <alignment horizontal="left" indent="2"/>
    </xf>
    <xf numFmtId="0" fontId="54" fillId="0" borderId="98" xfId="0" applyFont="1" applyBorder="1" applyAlignment="1">
      <alignment horizontal="left" indent="2"/>
    </xf>
    <xf numFmtId="0" fontId="54" fillId="0" borderId="83" xfId="0" applyFont="1" applyBorder="1" applyAlignment="1">
      <alignment horizontal="left" vertical="center" wrapText="1" indent="2"/>
    </xf>
    <xf numFmtId="0" fontId="54" fillId="0" borderId="13" xfId="0" applyFont="1" applyBorder="1" applyAlignment="1">
      <alignment horizontal="left" vertical="center" wrapText="1" indent="2"/>
    </xf>
    <xf numFmtId="0" fontId="54" fillId="0" borderId="72" xfId="0" applyFont="1" applyBorder="1" applyAlignment="1">
      <alignment horizontal="left" vertical="center" wrapText="1" indent="2"/>
    </xf>
    <xf numFmtId="0" fontId="54" fillId="0" borderId="139" xfId="0" applyFont="1" applyBorder="1" applyAlignment="1">
      <alignment horizontal="left" vertical="center" wrapText="1" indent="2"/>
    </xf>
    <xf numFmtId="0" fontId="54" fillId="0" borderId="138" xfId="0" applyFont="1" applyBorder="1" applyAlignment="1">
      <alignment horizontal="left" vertical="center" wrapText="1" indent="2"/>
    </xf>
    <xf numFmtId="0" fontId="54" fillId="0" borderId="140" xfId="0" applyFont="1" applyBorder="1" applyAlignment="1">
      <alignment horizontal="left" vertical="center" wrapText="1" indent="2"/>
    </xf>
    <xf numFmtId="0" fontId="54" fillId="0" borderId="91" xfId="0" applyFont="1" applyBorder="1" applyAlignment="1">
      <alignment horizontal="left" indent="2"/>
    </xf>
    <xf numFmtId="0" fontId="54" fillId="0" borderId="74" xfId="0" applyFont="1" applyBorder="1" applyAlignment="1">
      <alignment horizontal="left" indent="2"/>
    </xf>
    <xf numFmtId="0" fontId="54" fillId="0" borderId="79" xfId="0" applyFont="1" applyBorder="1" applyAlignment="1">
      <alignment horizontal="left" indent="2"/>
    </xf>
    <xf numFmtId="0" fontId="54" fillId="0" borderId="137" xfId="0" applyFont="1" applyBorder="1" applyAlignment="1">
      <alignment horizontal="left" indent="2"/>
    </xf>
    <xf numFmtId="0" fontId="54" fillId="0" borderId="141" xfId="0" applyFont="1" applyBorder="1" applyAlignment="1">
      <alignment horizontal="left" indent="2"/>
    </xf>
    <xf numFmtId="0" fontId="54" fillId="0" borderId="81" xfId="0" applyFont="1" applyBorder="1" applyAlignment="1">
      <alignment horizontal="left" indent="2"/>
    </xf>
    <xf numFmtId="0" fontId="54" fillId="0" borderId="83" xfId="0" applyFont="1" applyBorder="1" applyAlignment="1">
      <alignment horizontal="left" indent="2"/>
    </xf>
    <xf numFmtId="0" fontId="54" fillId="0" borderId="13" xfId="0" applyFont="1" applyBorder="1" applyAlignment="1">
      <alignment horizontal="left" indent="2"/>
    </xf>
    <xf numFmtId="0" fontId="54" fillId="0" borderId="72" xfId="0" applyFont="1" applyBorder="1" applyAlignment="1">
      <alignment horizontal="left" indent="2"/>
    </xf>
    <xf numFmtId="0" fontId="0" fillId="0" borderId="90" xfId="0" applyFont="1" applyFill="1" applyBorder="1" applyAlignment="1">
      <alignment horizontal="left" indent="1"/>
    </xf>
    <xf numFmtId="0" fontId="0" fillId="0" borderId="99" xfId="0" applyFont="1" applyFill="1" applyBorder="1" applyAlignment="1">
      <alignment horizontal="left" indent="1"/>
    </xf>
    <xf numFmtId="0" fontId="0" fillId="0" borderId="80" xfId="0" applyFont="1" applyFill="1" applyBorder="1" applyAlignment="1">
      <alignment horizontal="left" indent="1"/>
    </xf>
    <xf numFmtId="0" fontId="1" fillId="0" borderId="89" xfId="0" applyFont="1" applyBorder="1" applyAlignment="1">
      <alignment horizontal="left" vertical="center" indent="2"/>
    </xf>
    <xf numFmtId="0" fontId="1" fillId="0" borderId="97" xfId="0" applyFont="1" applyBorder="1" applyAlignment="1">
      <alignment horizontal="left" vertical="center" indent="2"/>
    </xf>
    <xf numFmtId="0" fontId="1" fillId="0" borderId="98" xfId="0" applyFont="1" applyBorder="1" applyAlignment="1">
      <alignment horizontal="left" vertical="center" indent="2"/>
    </xf>
    <xf numFmtId="1" fontId="1" fillId="0" borderId="135" xfId="0" applyNumberFormat="1" applyFont="1" applyBorder="1" applyAlignment="1">
      <alignment horizontal="left" vertical="center" wrapText="1" indent="2"/>
    </xf>
    <xf numFmtId="1" fontId="1" fillId="0" borderId="136" xfId="0" applyNumberFormat="1" applyFont="1" applyBorder="1" applyAlignment="1">
      <alignment horizontal="left" vertical="center" wrapText="1" indent="2"/>
    </xf>
    <xf numFmtId="1" fontId="1" fillId="0" borderId="57" xfId="0" applyNumberFormat="1" applyFont="1" applyBorder="1" applyAlignment="1">
      <alignment horizontal="left" vertical="center" wrapText="1" indent="2"/>
    </xf>
    <xf numFmtId="1" fontId="1" fillId="0" borderId="61" xfId="0" applyNumberFormat="1" applyFont="1" applyBorder="1" applyAlignment="1">
      <alignment horizontal="left" vertical="center" wrapText="1" indent="2"/>
    </xf>
    <xf numFmtId="1" fontId="1" fillId="0" borderId="0" xfId="0" applyNumberFormat="1" applyFont="1" applyBorder="1" applyAlignment="1">
      <alignment horizontal="left" vertical="center" wrapText="1" indent="2"/>
    </xf>
    <xf numFmtId="1" fontId="1" fillId="0" borderId="134" xfId="0" applyNumberFormat="1" applyFont="1" applyBorder="1" applyAlignment="1">
      <alignment horizontal="left" vertical="center" wrapText="1" indent="2"/>
    </xf>
    <xf numFmtId="1" fontId="1" fillId="0" borderId="118" xfId="0" applyNumberFormat="1" applyFont="1" applyBorder="1" applyAlignment="1">
      <alignment horizontal="left" vertical="center" wrapText="1" indent="2"/>
    </xf>
    <xf numFmtId="1" fontId="1" fillId="0" borderId="60" xfId="0" applyNumberFormat="1" applyFont="1" applyBorder="1" applyAlignment="1">
      <alignment horizontal="left" vertical="center" wrapText="1" indent="2"/>
    </xf>
    <xf numFmtId="1" fontId="1" fillId="0" borderId="59" xfId="0" applyNumberFormat="1" applyFont="1" applyBorder="1" applyAlignment="1">
      <alignment horizontal="left" vertical="center" wrapText="1" indent="2"/>
    </xf>
    <xf numFmtId="168" fontId="0" fillId="22" borderId="35" xfId="0" applyNumberFormat="1" applyFont="1" applyFill="1" applyBorder="1" applyAlignment="1">
      <alignment horizontal="center" vertical="center"/>
    </xf>
    <xf numFmtId="168" fontId="0" fillId="22" borderId="11" xfId="0" applyNumberFormat="1" applyFont="1" applyFill="1" applyBorder="1" applyAlignment="1">
      <alignment horizontal="center" vertical="center"/>
    </xf>
    <xf numFmtId="0" fontId="14" fillId="0" borderId="91" xfId="0" applyFont="1" applyBorder="1" applyAlignment="1">
      <alignment horizontal="left" vertical="center" indent="1"/>
    </xf>
    <xf numFmtId="0" fontId="14" fillId="0" borderId="74" xfId="0" applyFont="1" applyBorder="1" applyAlignment="1">
      <alignment horizontal="left" vertical="center" indent="1"/>
    </xf>
    <xf numFmtId="0" fontId="14" fillId="0" borderId="79" xfId="0" applyFont="1" applyBorder="1" applyAlignment="1">
      <alignment horizontal="left" vertical="center" indent="1"/>
    </xf>
    <xf numFmtId="0" fontId="3" fillId="31" borderId="145" xfId="0" applyFont="1" applyFill="1" applyBorder="1" applyAlignment="1">
      <alignment horizontal="left" vertical="center" indent="1"/>
    </xf>
    <xf numFmtId="0" fontId="3" fillId="31" borderId="146" xfId="0" applyFont="1" applyFill="1" applyBorder="1" applyAlignment="1">
      <alignment horizontal="left" vertical="center" indent="1"/>
    </xf>
    <xf numFmtId="0" fontId="3" fillId="31" borderId="71" xfId="0" applyFont="1" applyFill="1" applyBorder="1" applyAlignment="1">
      <alignment horizontal="left" vertical="center" indent="1"/>
    </xf>
    <xf numFmtId="0" fontId="0" fillId="0" borderId="91" xfId="55" applyNumberFormat="1" applyFont="1" applyFill="1" applyBorder="1" applyAlignment="1">
      <alignment horizontal="left" vertical="center" wrapText="1"/>
      <protection/>
    </xf>
    <xf numFmtId="0" fontId="0" fillId="0" borderId="74" xfId="55" applyNumberFormat="1" applyFont="1" applyFill="1" applyBorder="1" applyAlignment="1">
      <alignment horizontal="left" vertical="center" wrapText="1"/>
      <protection/>
    </xf>
    <xf numFmtId="0" fontId="0" fillId="0" borderId="79" xfId="55" applyNumberFormat="1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90" xfId="55" applyNumberFormat="1" applyFont="1" applyFill="1" applyBorder="1" applyAlignment="1">
      <alignment horizontal="left" vertical="center" wrapText="1"/>
      <protection/>
    </xf>
    <xf numFmtId="0" fontId="0" fillId="0" borderId="99" xfId="55" applyNumberFormat="1" applyFont="1" applyFill="1" applyBorder="1" applyAlignment="1">
      <alignment horizontal="left" vertical="center" wrapText="1"/>
      <protection/>
    </xf>
    <xf numFmtId="0" fontId="0" fillId="0" borderId="80" xfId="55" applyNumberFormat="1" applyFont="1" applyFill="1" applyBorder="1" applyAlignment="1">
      <alignment horizontal="left" vertical="center" wrapText="1"/>
      <protection/>
    </xf>
    <xf numFmtId="0" fontId="0" fillId="0" borderId="92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0" fillId="0" borderId="132" xfId="0" applyFont="1" applyBorder="1" applyAlignment="1">
      <alignment horizontal="left" vertical="center"/>
    </xf>
    <xf numFmtId="0" fontId="0" fillId="0" borderId="133" xfId="0" applyFont="1" applyBorder="1" applyAlignment="1">
      <alignment horizontal="left" vertical="center"/>
    </xf>
    <xf numFmtId="0" fontId="0" fillId="0" borderId="29" xfId="0" applyFont="1" applyBorder="1" applyAlignment="1">
      <alignment horizontal="left"/>
    </xf>
    <xf numFmtId="0" fontId="0" fillId="0" borderId="10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" fontId="0" fillId="3" borderId="51" xfId="0" applyNumberFormat="1" applyFont="1" applyFill="1" applyBorder="1" applyAlignment="1">
      <alignment horizontal="right" indent="1"/>
    </xf>
    <xf numFmtId="2" fontId="0" fillId="3" borderId="51" xfId="0" applyNumberFormat="1" applyFont="1" applyFill="1" applyBorder="1" applyAlignment="1">
      <alignment horizontal="right" indent="1"/>
    </xf>
    <xf numFmtId="2" fontId="0" fillId="3" borderId="17" xfId="0" applyNumberFormat="1" applyFont="1" applyFill="1" applyBorder="1" applyAlignment="1">
      <alignment horizontal="right" indent="1"/>
    </xf>
    <xf numFmtId="2" fontId="0" fillId="3" borderId="15" xfId="0" applyNumberFormat="1" applyFont="1" applyFill="1" applyBorder="1" applyAlignment="1">
      <alignment horizontal="right" indent="1"/>
    </xf>
    <xf numFmtId="2" fontId="0" fillId="3" borderId="18" xfId="0" applyNumberFormat="1" applyFont="1" applyFill="1" applyBorder="1" applyAlignment="1">
      <alignment horizontal="right" indent="1"/>
    </xf>
    <xf numFmtId="190" fontId="1" fillId="0" borderId="32" xfId="0" applyNumberFormat="1" applyFont="1" applyBorder="1" applyAlignment="1">
      <alignment horizontal="right"/>
    </xf>
    <xf numFmtId="2" fontId="0" fillId="0" borderId="65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4" fillId="0" borderId="89" xfId="0" applyFont="1" applyBorder="1" applyAlignment="1">
      <alignment horizontal="left" vertical="center" indent="1"/>
    </xf>
    <xf numFmtId="0" fontId="14" fillId="0" borderId="97" xfId="0" applyFont="1" applyBorder="1" applyAlignment="1">
      <alignment horizontal="left" vertical="center" indent="1"/>
    </xf>
    <xf numFmtId="0" fontId="14" fillId="0" borderId="98" xfId="0" applyFont="1" applyBorder="1" applyAlignment="1">
      <alignment horizontal="left" vertical="center" indent="1"/>
    </xf>
    <xf numFmtId="1" fontId="1" fillId="0" borderId="59" xfId="0" applyNumberFormat="1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/>
    </xf>
    <xf numFmtId="1" fontId="1" fillId="22" borderId="57" xfId="0" applyNumberFormat="1" applyFont="1" applyFill="1" applyBorder="1" applyAlignment="1">
      <alignment horizontal="center" vertical="center"/>
    </xf>
    <xf numFmtId="1" fontId="1" fillId="22" borderId="72" xfId="0" applyNumberFormat="1" applyFont="1" applyFill="1" applyBorder="1" applyAlignment="1">
      <alignment horizontal="center" vertical="center"/>
    </xf>
    <xf numFmtId="0" fontId="14" fillId="0" borderId="93" xfId="0" applyFont="1" applyBorder="1" applyAlignment="1">
      <alignment horizontal="left" vertical="center" indent="1"/>
    </xf>
    <xf numFmtId="0" fontId="14" fillId="0" borderId="132" xfId="0" applyFont="1" applyBorder="1" applyAlignment="1">
      <alignment horizontal="left" vertical="center" indent="1"/>
    </xf>
    <xf numFmtId="0" fontId="14" fillId="0" borderId="133" xfId="0" applyFont="1" applyBorder="1" applyAlignment="1">
      <alignment horizontal="left" vertical="center" indent="1"/>
    </xf>
    <xf numFmtId="1" fontId="1" fillId="0" borderId="57" xfId="0" applyNumberFormat="1" applyFont="1" applyBorder="1" applyAlignment="1">
      <alignment horizontal="center" vertical="center"/>
    </xf>
    <xf numFmtId="1" fontId="1" fillId="22" borderId="134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0" fillId="0" borderId="145" xfId="0" applyFont="1" applyFill="1" applyBorder="1" applyAlignment="1">
      <alignment horizontal="left" indent="1"/>
    </xf>
    <xf numFmtId="0" fontId="0" fillId="0" borderId="146" xfId="0" applyFont="1" applyFill="1" applyBorder="1" applyAlignment="1">
      <alignment horizontal="left" indent="1"/>
    </xf>
    <xf numFmtId="0" fontId="0" fillId="0" borderId="71" xfId="0" applyFont="1" applyFill="1" applyBorder="1" applyAlignment="1">
      <alignment horizontal="left" indent="1"/>
    </xf>
    <xf numFmtId="1" fontId="1" fillId="0" borderId="139" xfId="0" applyNumberFormat="1" applyFont="1" applyBorder="1" applyAlignment="1">
      <alignment horizontal="left" vertical="center" wrapText="1" indent="2"/>
    </xf>
    <xf numFmtId="1" fontId="1" fillId="0" borderId="138" xfId="0" applyNumberFormat="1" applyFont="1" applyBorder="1" applyAlignment="1">
      <alignment horizontal="left" vertical="center" wrapText="1" indent="2"/>
    </xf>
    <xf numFmtId="1" fontId="1" fillId="0" borderId="140" xfId="0" applyNumberFormat="1" applyFont="1" applyBorder="1" applyAlignment="1">
      <alignment horizontal="left" vertical="center" wrapText="1" indent="2"/>
    </xf>
    <xf numFmtId="1" fontId="1" fillId="0" borderId="83" xfId="0" applyNumberFormat="1" applyFont="1" applyBorder="1" applyAlignment="1">
      <alignment horizontal="left" vertical="center" wrapText="1" indent="2"/>
    </xf>
    <xf numFmtId="1" fontId="1" fillId="0" borderId="13" xfId="0" applyNumberFormat="1" applyFont="1" applyBorder="1" applyAlignment="1">
      <alignment horizontal="left" vertical="center" wrapText="1" indent="2"/>
    </xf>
    <xf numFmtId="1" fontId="1" fillId="0" borderId="72" xfId="0" applyNumberFormat="1" applyFont="1" applyBorder="1" applyAlignment="1">
      <alignment horizontal="left" vertical="center" wrapText="1" indent="2"/>
    </xf>
    <xf numFmtId="1" fontId="1" fillId="0" borderId="18" xfId="0" applyNumberFormat="1" applyFont="1" applyBorder="1" applyAlignment="1">
      <alignment horizontal="left" vertical="center" wrapText="1" indent="2"/>
    </xf>
    <xf numFmtId="0" fontId="0" fillId="0" borderId="65" xfId="0" applyFont="1" applyBorder="1" applyAlignment="1">
      <alignment horizontal="left" vertical="center" indent="1"/>
    </xf>
    <xf numFmtId="0" fontId="0" fillId="0" borderId="51" xfId="0" applyFont="1" applyBorder="1" applyAlignment="1">
      <alignment horizontal="left" vertical="center" indent="1"/>
    </xf>
    <xf numFmtId="0" fontId="0" fillId="0" borderId="107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22" borderId="61" xfId="0" applyFont="1" applyFill="1" applyBorder="1" applyAlignment="1">
      <alignment horizontal="center"/>
    </xf>
    <xf numFmtId="0" fontId="0" fillId="22" borderId="0" xfId="0" applyFont="1" applyFill="1" applyAlignment="1">
      <alignment horizontal="center"/>
    </xf>
    <xf numFmtId="0" fontId="0" fillId="0" borderId="12" xfId="0" applyFont="1" applyBorder="1" applyAlignment="1">
      <alignment horizontal="left" vertical="center" indent="1"/>
    </xf>
    <xf numFmtId="2" fontId="0" fillId="0" borderId="82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center" indent="1"/>
    </xf>
    <xf numFmtId="0" fontId="17" fillId="22" borderId="70" xfId="0" applyFont="1" applyFill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/>
    </xf>
    <xf numFmtId="2" fontId="0" fillId="0" borderId="65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/>
    </xf>
    <xf numFmtId="168" fontId="0" fillId="3" borderId="35" xfId="0" applyNumberFormat="1" applyFont="1" applyFill="1" applyBorder="1" applyAlignment="1">
      <alignment horizontal="center" vertical="center"/>
    </xf>
    <xf numFmtId="168" fontId="0" fillId="3" borderId="11" xfId="0" applyNumberFormat="1" applyFont="1" applyFill="1" applyBorder="1" applyAlignment="1">
      <alignment horizontal="center" vertical="center"/>
    </xf>
    <xf numFmtId="0" fontId="0" fillId="0" borderId="142" xfId="0" applyFont="1" applyBorder="1" applyAlignment="1">
      <alignment horizontal="left" vertical="center" indent="1"/>
    </xf>
    <xf numFmtId="0" fontId="0" fillId="0" borderId="143" xfId="0" applyFont="1" applyBorder="1" applyAlignment="1">
      <alignment horizontal="left" vertical="center" indent="1"/>
    </xf>
    <xf numFmtId="0" fontId="0" fillId="0" borderId="144" xfId="0" applyFont="1" applyBorder="1" applyAlignment="1">
      <alignment horizontal="left" vertical="center" indent="1"/>
    </xf>
    <xf numFmtId="1" fontId="1" fillId="0" borderId="139" xfId="0" applyNumberFormat="1" applyFont="1" applyBorder="1" applyAlignment="1">
      <alignment horizontal="center" vertical="center" wrapText="1"/>
    </xf>
    <xf numFmtId="1" fontId="1" fillId="0" borderId="138" xfId="0" applyNumberFormat="1" applyFont="1" applyBorder="1" applyAlignment="1">
      <alignment horizontal="center" vertical="center" wrapText="1"/>
    </xf>
    <xf numFmtId="1" fontId="1" fillId="0" borderId="140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34" xfId="0" applyNumberFormat="1" applyFont="1" applyBorder="1" applyAlignment="1">
      <alignment horizontal="center" vertical="center" wrapText="1"/>
    </xf>
    <xf numFmtId="1" fontId="1" fillId="0" borderId="8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72" xfId="0" applyNumberFormat="1" applyFont="1" applyBorder="1" applyAlignment="1">
      <alignment horizontal="center" vertical="center" wrapText="1"/>
    </xf>
    <xf numFmtId="1" fontId="1" fillId="0" borderId="135" xfId="0" applyNumberFormat="1" applyFont="1" applyBorder="1" applyAlignment="1">
      <alignment horizontal="center" vertical="center" wrapText="1"/>
    </xf>
    <xf numFmtId="1" fontId="1" fillId="0" borderId="136" xfId="0" applyNumberFormat="1" applyFont="1" applyBorder="1" applyAlignment="1">
      <alignment horizontal="center" vertical="center" wrapText="1"/>
    </xf>
    <xf numFmtId="1" fontId="1" fillId="0" borderId="57" xfId="0" applyNumberFormat="1" applyFont="1" applyBorder="1" applyAlignment="1">
      <alignment horizontal="center" vertical="center" wrapText="1"/>
    </xf>
    <xf numFmtId="0" fontId="59" fillId="0" borderId="146" xfId="0" applyFont="1" applyBorder="1" applyAlignment="1">
      <alignment horizontal="center" vertical="center" wrapText="1"/>
    </xf>
    <xf numFmtId="0" fontId="0" fillId="22" borderId="82" xfId="0" applyFont="1" applyFill="1" applyBorder="1" applyAlignment="1">
      <alignment horizontal="center"/>
    </xf>
    <xf numFmtId="0" fontId="0" fillId="22" borderId="73" xfId="0" applyFont="1" applyFill="1" applyBorder="1" applyAlignment="1">
      <alignment horizontal="center"/>
    </xf>
    <xf numFmtId="0" fontId="0" fillId="0" borderId="145" xfId="0" applyFont="1" applyBorder="1" applyAlignment="1">
      <alignment horizontal="left" vertical="center"/>
    </xf>
    <xf numFmtId="0" fontId="0" fillId="0" borderId="146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142" xfId="0" applyFont="1" applyBorder="1" applyAlignment="1">
      <alignment horizontal="left" vertical="center"/>
    </xf>
    <xf numFmtId="0" fontId="0" fillId="0" borderId="143" xfId="0" applyFont="1" applyBorder="1" applyAlignment="1">
      <alignment horizontal="left" vertical="center"/>
    </xf>
    <xf numFmtId="0" fontId="0" fillId="0" borderId="144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0" fillId="0" borderId="132" xfId="0" applyFont="1" applyBorder="1" applyAlignment="1">
      <alignment horizontal="left" vertical="center"/>
    </xf>
    <xf numFmtId="0" fontId="0" fillId="0" borderId="133" xfId="0" applyFont="1" applyBorder="1" applyAlignment="1">
      <alignment horizontal="left" vertical="center"/>
    </xf>
    <xf numFmtId="0" fontId="85" fillId="22" borderId="135" xfId="0" applyFont="1" applyFill="1" applyBorder="1" applyAlignment="1">
      <alignment horizontal="center"/>
    </xf>
    <xf numFmtId="0" fontId="85" fillId="22" borderId="136" xfId="0" applyFont="1" applyFill="1" applyBorder="1" applyAlignment="1">
      <alignment horizontal="center"/>
    </xf>
    <xf numFmtId="0" fontId="54" fillId="0" borderId="89" xfId="0" applyFont="1" applyBorder="1" applyAlignment="1">
      <alignment horizontal="left" vertical="center" indent="1"/>
    </xf>
    <xf numFmtId="0" fontId="54" fillId="0" borderId="97" xfId="0" applyFont="1" applyBorder="1" applyAlignment="1">
      <alignment horizontal="left" vertical="center" indent="1"/>
    </xf>
    <xf numFmtId="0" fontId="54" fillId="0" borderId="98" xfId="0" applyFont="1" applyBorder="1" applyAlignment="1">
      <alignment horizontal="left" vertical="center" indent="1"/>
    </xf>
    <xf numFmtId="0" fontId="54" fillId="0" borderId="92" xfId="0" applyFont="1" applyBorder="1" applyAlignment="1">
      <alignment horizontal="left" vertical="center" indent="1"/>
    </xf>
    <xf numFmtId="0" fontId="54" fillId="0" borderId="95" xfId="0" applyFont="1" applyBorder="1" applyAlignment="1">
      <alignment horizontal="left" vertical="center" indent="1"/>
    </xf>
    <xf numFmtId="0" fontId="54" fillId="0" borderId="96" xfId="0" applyFont="1" applyBorder="1" applyAlignment="1">
      <alignment horizontal="left" vertical="center" indent="1"/>
    </xf>
    <xf numFmtId="0" fontId="54" fillId="0" borderId="93" xfId="0" applyFont="1" applyBorder="1" applyAlignment="1">
      <alignment horizontal="left" vertical="center" indent="1"/>
    </xf>
    <xf numFmtId="0" fontId="54" fillId="0" borderId="132" xfId="0" applyFont="1" applyBorder="1" applyAlignment="1">
      <alignment horizontal="left" vertical="center" indent="1"/>
    </xf>
    <xf numFmtId="0" fontId="54" fillId="0" borderId="133" xfId="0" applyFont="1" applyBorder="1" applyAlignment="1">
      <alignment horizontal="left" vertical="center" indent="1"/>
    </xf>
    <xf numFmtId="0" fontId="75" fillId="0" borderId="13" xfId="0" applyFont="1" applyBorder="1" applyAlignment="1">
      <alignment horizontal="center" vertical="center" wrapText="1"/>
    </xf>
    <xf numFmtId="0" fontId="63" fillId="22" borderId="135" xfId="0" applyFont="1" applyFill="1" applyBorder="1" applyAlignment="1">
      <alignment horizontal="center" vertical="center"/>
    </xf>
    <xf numFmtId="0" fontId="63" fillId="22" borderId="136" xfId="0" applyFont="1" applyFill="1" applyBorder="1" applyAlignment="1">
      <alignment horizontal="center" vertical="center"/>
    </xf>
    <xf numFmtId="0" fontId="63" fillId="22" borderId="57" xfId="0" applyFont="1" applyFill="1" applyBorder="1" applyAlignment="1">
      <alignment horizontal="center" vertical="center"/>
    </xf>
    <xf numFmtId="0" fontId="63" fillId="22" borderId="118" xfId="0" applyFont="1" applyFill="1" applyBorder="1" applyAlignment="1">
      <alignment horizontal="center" vertical="center"/>
    </xf>
    <xf numFmtId="0" fontId="63" fillId="22" borderId="60" xfId="0" applyFont="1" applyFill="1" applyBorder="1" applyAlignment="1">
      <alignment horizontal="center" vertical="center"/>
    </xf>
    <xf numFmtId="0" fontId="63" fillId="22" borderId="59" xfId="0" applyFont="1" applyFill="1" applyBorder="1" applyAlignment="1">
      <alignment horizontal="center" vertical="center"/>
    </xf>
    <xf numFmtId="168" fontId="64" fillId="22" borderId="35" xfId="0" applyNumberFormat="1" applyFont="1" applyFill="1" applyBorder="1" applyAlignment="1">
      <alignment horizontal="center" vertical="center"/>
    </xf>
    <xf numFmtId="168" fontId="64" fillId="22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left" indent="1"/>
    </xf>
    <xf numFmtId="0" fontId="54" fillId="0" borderId="95" xfId="0" applyFont="1" applyBorder="1" applyAlignment="1">
      <alignment horizontal="left" indent="1"/>
    </xf>
    <xf numFmtId="0" fontId="54" fillId="0" borderId="96" xfId="0" applyFont="1" applyBorder="1" applyAlignment="1">
      <alignment horizontal="left" indent="1"/>
    </xf>
    <xf numFmtId="0" fontId="54" fillId="0" borderId="142" xfId="0" applyFont="1" applyBorder="1" applyAlignment="1">
      <alignment horizontal="left" indent="1"/>
    </xf>
    <xf numFmtId="0" fontId="54" fillId="0" borderId="143" xfId="0" applyFont="1" applyBorder="1" applyAlignment="1">
      <alignment horizontal="left" indent="1"/>
    </xf>
    <xf numFmtId="0" fontId="54" fillId="0" borderId="144" xfId="0" applyFont="1" applyBorder="1" applyAlignment="1">
      <alignment horizontal="left" indent="1"/>
    </xf>
    <xf numFmtId="0" fontId="54" fillId="0" borderId="90" xfId="0" applyFont="1" applyBorder="1" applyAlignment="1">
      <alignment horizontal="left" indent="1"/>
    </xf>
    <xf numFmtId="0" fontId="54" fillId="0" borderId="99" xfId="0" applyFont="1" applyBorder="1" applyAlignment="1">
      <alignment horizontal="left" indent="1"/>
    </xf>
    <xf numFmtId="0" fontId="54" fillId="0" borderId="80" xfId="0" applyFont="1" applyBorder="1" applyAlignment="1">
      <alignment horizontal="left" indent="1"/>
    </xf>
    <xf numFmtId="0" fontId="54" fillId="0" borderId="135" xfId="0" applyFont="1" applyBorder="1" applyAlignment="1">
      <alignment horizontal="left" indent="1"/>
    </xf>
    <xf numFmtId="0" fontId="54" fillId="0" borderId="136" xfId="0" applyFont="1" applyBorder="1" applyAlignment="1">
      <alignment horizontal="left" indent="1"/>
    </xf>
    <xf numFmtId="0" fontId="54" fillId="0" borderId="57" xfId="0" applyFont="1" applyBorder="1" applyAlignment="1">
      <alignment horizontal="left" indent="1"/>
    </xf>
    <xf numFmtId="0" fontId="17" fillId="24" borderId="74" xfId="0" applyFont="1" applyFill="1" applyBorder="1" applyAlignment="1">
      <alignment horizontal="left" indent="1"/>
    </xf>
    <xf numFmtId="0" fontId="17" fillId="24" borderId="79" xfId="0" applyFont="1" applyFill="1" applyBorder="1" applyAlignment="1">
      <alignment horizontal="left" indent="1"/>
    </xf>
    <xf numFmtId="0" fontId="17" fillId="0" borderId="95" xfId="0" applyFont="1" applyBorder="1" applyAlignment="1">
      <alignment horizontal="left" indent="1"/>
    </xf>
    <xf numFmtId="0" fontId="17" fillId="0" borderId="96" xfId="0" applyFont="1" applyBorder="1" applyAlignment="1">
      <alignment horizontal="left" indent="1"/>
    </xf>
    <xf numFmtId="0" fontId="16" fillId="0" borderId="61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 indent="2"/>
    </xf>
    <xf numFmtId="0" fontId="14" fillId="0" borderId="118" xfId="0" applyFont="1" applyBorder="1" applyAlignment="1">
      <alignment horizontal="left" vertical="center" indent="2"/>
    </xf>
    <xf numFmtId="0" fontId="14" fillId="0" borderId="60" xfId="0" applyFont="1" applyBorder="1" applyAlignment="1">
      <alignment horizontal="left" vertical="center" indent="2"/>
    </xf>
    <xf numFmtId="0" fontId="16" fillId="0" borderId="0" xfId="0" applyFont="1" applyAlignment="1">
      <alignment horizontal="center" vertical="center" wrapText="1"/>
    </xf>
    <xf numFmtId="0" fontId="54" fillId="0" borderId="82" xfId="0" applyFont="1" applyBorder="1" applyAlignment="1">
      <alignment horizontal="left" indent="1"/>
    </xf>
    <xf numFmtId="0" fontId="54" fillId="0" borderId="100" xfId="0" applyFont="1" applyBorder="1" applyAlignment="1">
      <alignment horizontal="left" indent="1"/>
    </xf>
    <xf numFmtId="0" fontId="54" fillId="0" borderId="73" xfId="0" applyFont="1" applyBorder="1" applyAlignment="1">
      <alignment horizontal="left" indent="1"/>
    </xf>
    <xf numFmtId="0" fontId="54" fillId="24" borderId="135" xfId="0" applyFont="1" applyFill="1" applyBorder="1" applyAlignment="1">
      <alignment horizontal="center" vertical="center"/>
    </xf>
    <xf numFmtId="0" fontId="54" fillId="24" borderId="136" xfId="0" applyFont="1" applyFill="1" applyBorder="1" applyAlignment="1">
      <alignment horizontal="center" vertical="center"/>
    </xf>
    <xf numFmtId="0" fontId="54" fillId="24" borderId="57" xfId="0" applyFont="1" applyFill="1" applyBorder="1" applyAlignment="1">
      <alignment horizontal="center" vertical="center"/>
    </xf>
    <xf numFmtId="0" fontId="54" fillId="24" borderId="83" xfId="0" applyFont="1" applyFill="1" applyBorder="1" applyAlignment="1">
      <alignment horizontal="center" vertical="center"/>
    </xf>
    <xf numFmtId="0" fontId="54" fillId="24" borderId="13" xfId="0" applyFont="1" applyFill="1" applyBorder="1" applyAlignment="1">
      <alignment horizontal="center" vertical="center"/>
    </xf>
    <xf numFmtId="0" fontId="54" fillId="24" borderId="72" xfId="0" applyFont="1" applyFill="1" applyBorder="1" applyAlignment="1">
      <alignment horizontal="center" vertical="center"/>
    </xf>
    <xf numFmtId="0" fontId="54" fillId="24" borderId="58" xfId="0" applyFont="1" applyFill="1" applyBorder="1" applyAlignment="1">
      <alignment horizontal="center" vertical="center"/>
    </xf>
    <xf numFmtId="0" fontId="54" fillId="24" borderId="62" xfId="0" applyFont="1" applyFill="1" applyBorder="1" applyAlignment="1">
      <alignment horizontal="center" vertical="center"/>
    </xf>
    <xf numFmtId="0" fontId="17" fillId="24" borderId="91" xfId="0" applyFont="1" applyFill="1" applyBorder="1" applyAlignment="1">
      <alignment horizontal="left" indent="1"/>
    </xf>
    <xf numFmtId="0" fontId="17" fillId="0" borderId="92" xfId="0" applyFont="1" applyBorder="1" applyAlignment="1">
      <alignment horizontal="left" indent="1"/>
    </xf>
    <xf numFmtId="0" fontId="17" fillId="24" borderId="51" xfId="0" applyFont="1" applyFill="1" applyBorder="1" applyAlignment="1">
      <alignment horizontal="left" indent="1"/>
    </xf>
    <xf numFmtId="0" fontId="17" fillId="0" borderId="94" xfId="0" applyFont="1" applyBorder="1" applyAlignment="1">
      <alignment horizontal="left" indent="1"/>
    </xf>
    <xf numFmtId="0" fontId="17" fillId="0" borderId="65" xfId="0" applyFont="1" applyBorder="1" applyAlignment="1">
      <alignment horizontal="left" indent="1"/>
    </xf>
    <xf numFmtId="0" fontId="17" fillId="0" borderId="67" xfId="0" applyFont="1" applyBorder="1" applyAlignment="1">
      <alignment horizontal="left" indent="1"/>
    </xf>
    <xf numFmtId="0" fontId="17" fillId="0" borderId="15" xfId="0" applyFont="1" applyBorder="1" applyAlignment="1">
      <alignment horizontal="left" indent="1"/>
    </xf>
    <xf numFmtId="0" fontId="42" fillId="0" borderId="0" xfId="56" applyFont="1" applyBorder="1" applyAlignment="1">
      <alignment horizontal="center"/>
      <protection/>
    </xf>
    <xf numFmtId="0" fontId="50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Славрос 25.03.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Славрос 25.03. 200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19.jpeg" /><Relationship Id="rId13" Type="http://schemas.openxmlformats.org/officeDocument/2006/relationships/image" Target="../media/image20.jpeg" /><Relationship Id="rId14" Type="http://schemas.openxmlformats.org/officeDocument/2006/relationships/image" Target="../media/image21.jpeg" /><Relationship Id="rId15" Type="http://schemas.openxmlformats.org/officeDocument/2006/relationships/image" Target="../media/image22.jpeg" /><Relationship Id="rId16" Type="http://schemas.openxmlformats.org/officeDocument/2006/relationships/image" Target="../media/image23.jpeg" /><Relationship Id="rId17" Type="http://schemas.openxmlformats.org/officeDocument/2006/relationships/image" Target="../media/image24.jpeg" /><Relationship Id="rId18" Type="http://schemas.openxmlformats.org/officeDocument/2006/relationships/image" Target="../media/image25.jpeg" /><Relationship Id="rId19" Type="http://schemas.openxmlformats.org/officeDocument/2006/relationships/image" Target="../media/image26.jpeg" /><Relationship Id="rId20" Type="http://schemas.openxmlformats.org/officeDocument/2006/relationships/image" Target="../media/image27.jpeg" /><Relationship Id="rId21" Type="http://schemas.openxmlformats.org/officeDocument/2006/relationships/image" Target="../media/image28.jpeg" /><Relationship Id="rId22" Type="http://schemas.openxmlformats.org/officeDocument/2006/relationships/image" Target="../media/image29.jpeg" /><Relationship Id="rId23" Type="http://schemas.openxmlformats.org/officeDocument/2006/relationships/image" Target="../media/image30.jpeg" /><Relationship Id="rId24" Type="http://schemas.openxmlformats.org/officeDocument/2006/relationships/image" Target="../media/image31.jpeg" /><Relationship Id="rId25" Type="http://schemas.openxmlformats.org/officeDocument/2006/relationships/image" Target="../media/image32.jpeg" /><Relationship Id="rId26" Type="http://schemas.openxmlformats.org/officeDocument/2006/relationships/image" Target="../media/image33.jpeg" /><Relationship Id="rId27" Type="http://schemas.openxmlformats.org/officeDocument/2006/relationships/image" Target="../media/image34.jpeg" /><Relationship Id="rId28" Type="http://schemas.openxmlformats.org/officeDocument/2006/relationships/image" Target="../media/image35.png" /><Relationship Id="rId29" Type="http://schemas.openxmlformats.org/officeDocument/2006/relationships/image" Target="../media/image36.jpeg" /><Relationship Id="rId30" Type="http://schemas.openxmlformats.org/officeDocument/2006/relationships/image" Target="../media/image37.png" /><Relationship Id="rId31" Type="http://schemas.openxmlformats.org/officeDocument/2006/relationships/image" Target="../media/image38.png" /><Relationship Id="rId32" Type="http://schemas.openxmlformats.org/officeDocument/2006/relationships/image" Target="../media/image39.jpeg" /><Relationship Id="rId33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9525</xdr:rowOff>
    </xdr:from>
    <xdr:to>
      <xdr:col>4</xdr:col>
      <xdr:colOff>304800</xdr:colOff>
      <xdr:row>19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486025"/>
          <a:ext cx="1828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25</xdr:row>
      <xdr:rowOff>9525</xdr:rowOff>
    </xdr:from>
    <xdr:to>
      <xdr:col>4</xdr:col>
      <xdr:colOff>276225</xdr:colOff>
      <xdr:row>32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610100"/>
          <a:ext cx="1790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38</xdr:row>
      <xdr:rowOff>0</xdr:rowOff>
    </xdr:from>
    <xdr:to>
      <xdr:col>4</xdr:col>
      <xdr:colOff>276225</xdr:colOff>
      <xdr:row>45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6724650"/>
          <a:ext cx="1790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51</xdr:row>
      <xdr:rowOff>0</xdr:rowOff>
    </xdr:from>
    <xdr:to>
      <xdr:col>4</xdr:col>
      <xdr:colOff>352425</xdr:colOff>
      <xdr:row>58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8848725"/>
          <a:ext cx="1866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63</xdr:row>
      <xdr:rowOff>0</xdr:rowOff>
    </xdr:from>
    <xdr:to>
      <xdr:col>4</xdr:col>
      <xdr:colOff>342900</xdr:colOff>
      <xdr:row>70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10810875"/>
          <a:ext cx="1876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75</xdr:row>
      <xdr:rowOff>161925</xdr:rowOff>
    </xdr:from>
    <xdr:to>
      <xdr:col>4</xdr:col>
      <xdr:colOff>314325</xdr:colOff>
      <xdr:row>83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12925425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89</xdr:row>
      <xdr:rowOff>19050</xdr:rowOff>
    </xdr:from>
    <xdr:to>
      <xdr:col>4</xdr:col>
      <xdr:colOff>333375</xdr:colOff>
      <xdr:row>96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5078075"/>
          <a:ext cx="1847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8</xdr:row>
      <xdr:rowOff>47625</xdr:rowOff>
    </xdr:from>
    <xdr:to>
      <xdr:col>4</xdr:col>
      <xdr:colOff>866775</xdr:colOff>
      <xdr:row>8</xdr:row>
      <xdr:rowOff>828675</xdr:rowOff>
    </xdr:to>
    <xdr:pic>
      <xdr:nvPicPr>
        <xdr:cNvPr id="1" name="Picture 1" descr="91cac6c899829ba24e732c1684dc97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68592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66675</xdr:rowOff>
    </xdr:from>
    <xdr:to>
      <xdr:col>4</xdr:col>
      <xdr:colOff>866775</xdr:colOff>
      <xdr:row>9</xdr:row>
      <xdr:rowOff>819150</xdr:rowOff>
    </xdr:to>
    <xdr:pic>
      <xdr:nvPicPr>
        <xdr:cNvPr id="2" name="Picture 2" descr="ae35cf86b53c5bdaacec0ca125b5e3f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5908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38100</xdr:rowOff>
    </xdr:from>
    <xdr:to>
      <xdr:col>4</xdr:col>
      <xdr:colOff>857250</xdr:colOff>
      <xdr:row>10</xdr:row>
      <xdr:rowOff>838200</xdr:rowOff>
    </xdr:to>
    <xdr:pic>
      <xdr:nvPicPr>
        <xdr:cNvPr id="3" name="Picture 3" descr="baeec114481c1e929e60c900f98ea6c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344805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11</xdr:row>
      <xdr:rowOff>47625</xdr:rowOff>
    </xdr:from>
    <xdr:to>
      <xdr:col>4</xdr:col>
      <xdr:colOff>857250</xdr:colOff>
      <xdr:row>11</xdr:row>
      <xdr:rowOff>819150</xdr:rowOff>
    </xdr:to>
    <xdr:pic>
      <xdr:nvPicPr>
        <xdr:cNvPr id="4" name="Picture 4" descr="e9888f1ae58543f14b1524c80d71e1a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4343400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</xdr:row>
      <xdr:rowOff>66675</xdr:rowOff>
    </xdr:from>
    <xdr:to>
      <xdr:col>4</xdr:col>
      <xdr:colOff>866775</xdr:colOff>
      <xdr:row>12</xdr:row>
      <xdr:rowOff>828675</xdr:rowOff>
    </xdr:to>
    <xdr:pic>
      <xdr:nvPicPr>
        <xdr:cNvPr id="5" name="Picture 5" descr="663555d16a8da8e6fa97666b0cb8d3a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086225" y="524827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38100</xdr:rowOff>
    </xdr:from>
    <xdr:to>
      <xdr:col>4</xdr:col>
      <xdr:colOff>866775</xdr:colOff>
      <xdr:row>13</xdr:row>
      <xdr:rowOff>828675</xdr:rowOff>
    </xdr:to>
    <xdr:pic>
      <xdr:nvPicPr>
        <xdr:cNvPr id="6" name="Picture 6" descr="44f3e985021ee16f09baf534d440dcf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76700" y="610552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38100</xdr:rowOff>
    </xdr:from>
    <xdr:to>
      <xdr:col>10</xdr:col>
      <xdr:colOff>876300</xdr:colOff>
      <xdr:row>8</xdr:row>
      <xdr:rowOff>857250</xdr:rowOff>
    </xdr:to>
    <xdr:pic>
      <xdr:nvPicPr>
        <xdr:cNvPr id="7" name="Picture 7" descr="9d18b805ed8627140e20815a129ea4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63050" y="167640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38100</xdr:rowOff>
    </xdr:from>
    <xdr:to>
      <xdr:col>10</xdr:col>
      <xdr:colOff>847725</xdr:colOff>
      <xdr:row>9</xdr:row>
      <xdr:rowOff>838200</xdr:rowOff>
    </xdr:to>
    <xdr:pic>
      <xdr:nvPicPr>
        <xdr:cNvPr id="8" name="Picture 8" descr="95277bc426a666dd21ab9aa0d33848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82100" y="25622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66675</xdr:rowOff>
    </xdr:from>
    <xdr:to>
      <xdr:col>10</xdr:col>
      <xdr:colOff>847725</xdr:colOff>
      <xdr:row>10</xdr:row>
      <xdr:rowOff>828675</xdr:rowOff>
    </xdr:to>
    <xdr:pic>
      <xdr:nvPicPr>
        <xdr:cNvPr id="9" name="Picture 9" descr="4de9e204e0f5ae3e5ff033fefe86e9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91625" y="347662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11</xdr:row>
      <xdr:rowOff>28575</xdr:rowOff>
    </xdr:from>
    <xdr:to>
      <xdr:col>10</xdr:col>
      <xdr:colOff>857250</xdr:colOff>
      <xdr:row>11</xdr:row>
      <xdr:rowOff>819150</xdr:rowOff>
    </xdr:to>
    <xdr:pic>
      <xdr:nvPicPr>
        <xdr:cNvPr id="10" name="Picture 10" descr="09fac298a4dabc164b1d48e5164d73e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0" y="43243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38100</xdr:rowOff>
    </xdr:from>
    <xdr:to>
      <xdr:col>10</xdr:col>
      <xdr:colOff>838200</xdr:colOff>
      <xdr:row>12</xdr:row>
      <xdr:rowOff>828675</xdr:rowOff>
    </xdr:to>
    <xdr:pic>
      <xdr:nvPicPr>
        <xdr:cNvPr id="11" name="Picture 11" descr="f2804dd1df428a644a8b67db87e7a5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63050" y="52197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13</xdr:row>
      <xdr:rowOff>47625</xdr:rowOff>
    </xdr:from>
    <xdr:to>
      <xdr:col>10</xdr:col>
      <xdr:colOff>847725</xdr:colOff>
      <xdr:row>13</xdr:row>
      <xdr:rowOff>819150</xdr:rowOff>
    </xdr:to>
    <xdr:pic>
      <xdr:nvPicPr>
        <xdr:cNvPr id="12" name="Picture 12" descr="dbca252c1a42787d254e2653647640e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44000" y="6115050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16</xdr:row>
      <xdr:rowOff>47625</xdr:rowOff>
    </xdr:from>
    <xdr:to>
      <xdr:col>4</xdr:col>
      <xdr:colOff>857250</xdr:colOff>
      <xdr:row>16</xdr:row>
      <xdr:rowOff>828675</xdr:rowOff>
    </xdr:to>
    <xdr:pic>
      <xdr:nvPicPr>
        <xdr:cNvPr id="13" name="Picture 13" descr="9afbc962c412c69f0638927f26b490e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86225" y="77152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17</xdr:row>
      <xdr:rowOff>47625</xdr:rowOff>
    </xdr:from>
    <xdr:to>
      <xdr:col>4</xdr:col>
      <xdr:colOff>857250</xdr:colOff>
      <xdr:row>17</xdr:row>
      <xdr:rowOff>828675</xdr:rowOff>
    </xdr:to>
    <xdr:pic>
      <xdr:nvPicPr>
        <xdr:cNvPr id="14" name="Picture 14" descr="b62ab7d4ce24429fdb4a12ce2ae8c92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86225" y="860107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38100</xdr:rowOff>
    </xdr:from>
    <xdr:to>
      <xdr:col>4</xdr:col>
      <xdr:colOff>847725</xdr:colOff>
      <xdr:row>18</xdr:row>
      <xdr:rowOff>819150</xdr:rowOff>
    </xdr:to>
    <xdr:pic>
      <xdr:nvPicPr>
        <xdr:cNvPr id="15" name="Picture 15" descr="2c38209b1ee2cd1107a7216f7c0cdbe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76700" y="947737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47625</xdr:rowOff>
    </xdr:from>
    <xdr:to>
      <xdr:col>4</xdr:col>
      <xdr:colOff>866775</xdr:colOff>
      <xdr:row>19</xdr:row>
      <xdr:rowOff>819150</xdr:rowOff>
    </xdr:to>
    <xdr:pic>
      <xdr:nvPicPr>
        <xdr:cNvPr id="16" name="Picture 16" descr="015c0fd588e2bed02ddc59e35d904eb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67175" y="103727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20</xdr:row>
      <xdr:rowOff>66675</xdr:rowOff>
    </xdr:from>
    <xdr:to>
      <xdr:col>4</xdr:col>
      <xdr:colOff>857250</xdr:colOff>
      <xdr:row>20</xdr:row>
      <xdr:rowOff>819150</xdr:rowOff>
    </xdr:to>
    <xdr:pic>
      <xdr:nvPicPr>
        <xdr:cNvPr id="17" name="Picture 17" descr="795d7b4bb2790ee1f3c6bbc8f49a00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76700" y="1127760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47625</xdr:rowOff>
    </xdr:from>
    <xdr:to>
      <xdr:col>4</xdr:col>
      <xdr:colOff>876300</xdr:colOff>
      <xdr:row>21</xdr:row>
      <xdr:rowOff>819150</xdr:rowOff>
    </xdr:to>
    <xdr:pic>
      <xdr:nvPicPr>
        <xdr:cNvPr id="18" name="Picture 18" descr="13bf4183740e293b9b748f1b23f4295a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95750" y="12144375"/>
          <a:ext cx="81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22</xdr:row>
      <xdr:rowOff>66675</xdr:rowOff>
    </xdr:from>
    <xdr:to>
      <xdr:col>4</xdr:col>
      <xdr:colOff>857250</xdr:colOff>
      <xdr:row>22</xdr:row>
      <xdr:rowOff>819150</xdr:rowOff>
    </xdr:to>
    <xdr:pic>
      <xdr:nvPicPr>
        <xdr:cNvPr id="19" name="Picture 19" descr="96a84b3d1f87298299c8c5f8b58c005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86225" y="1304925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47625</xdr:rowOff>
    </xdr:from>
    <xdr:to>
      <xdr:col>10</xdr:col>
      <xdr:colOff>866775</xdr:colOff>
      <xdr:row>16</xdr:row>
      <xdr:rowOff>828675</xdr:rowOff>
    </xdr:to>
    <xdr:pic>
      <xdr:nvPicPr>
        <xdr:cNvPr id="20" name="Picture 21" descr="edc81c2be5ea5d6e0439d6de70beeb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163050" y="77152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47625</xdr:rowOff>
    </xdr:from>
    <xdr:to>
      <xdr:col>10</xdr:col>
      <xdr:colOff>857250</xdr:colOff>
      <xdr:row>17</xdr:row>
      <xdr:rowOff>819150</xdr:rowOff>
    </xdr:to>
    <xdr:pic>
      <xdr:nvPicPr>
        <xdr:cNvPr id="21" name="Picture 22" descr="bad0f9de949d8ef5573510698370626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182100" y="86010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66675</xdr:rowOff>
    </xdr:from>
    <xdr:to>
      <xdr:col>10</xdr:col>
      <xdr:colOff>847725</xdr:colOff>
      <xdr:row>18</xdr:row>
      <xdr:rowOff>828675</xdr:rowOff>
    </xdr:to>
    <xdr:pic>
      <xdr:nvPicPr>
        <xdr:cNvPr id="22" name="Picture 23" descr="11a9a4e1bbb20fb544de963f8580beca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91625" y="950595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19</xdr:row>
      <xdr:rowOff>85725</xdr:rowOff>
    </xdr:from>
    <xdr:to>
      <xdr:col>10</xdr:col>
      <xdr:colOff>838200</xdr:colOff>
      <xdr:row>19</xdr:row>
      <xdr:rowOff>819150</xdr:rowOff>
    </xdr:to>
    <xdr:pic>
      <xdr:nvPicPr>
        <xdr:cNvPr id="23" name="Picture 24" descr="66dd4b60a4ed5300c94294b7d030c025"/>
        <xdr:cNvPicPr preferRelativeResize="1">
          <a:picLocks noChangeAspect="1"/>
        </xdr:cNvPicPr>
      </xdr:nvPicPr>
      <xdr:blipFill>
        <a:blip r:embed="rId23"/>
        <a:srcRect b="18664"/>
        <a:stretch>
          <a:fillRect/>
        </a:stretch>
      </xdr:blipFill>
      <xdr:spPr>
        <a:xfrm>
          <a:off x="9191625" y="1041082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20</xdr:row>
      <xdr:rowOff>38100</xdr:rowOff>
    </xdr:from>
    <xdr:to>
      <xdr:col>10</xdr:col>
      <xdr:colOff>857250</xdr:colOff>
      <xdr:row>20</xdr:row>
      <xdr:rowOff>828675</xdr:rowOff>
    </xdr:to>
    <xdr:pic>
      <xdr:nvPicPr>
        <xdr:cNvPr id="24" name="Picture 25" descr="ec4f4d4cd26ba4d00e9a20c28bde6e8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201150" y="1124902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47625</xdr:rowOff>
    </xdr:from>
    <xdr:to>
      <xdr:col>10</xdr:col>
      <xdr:colOff>838200</xdr:colOff>
      <xdr:row>21</xdr:row>
      <xdr:rowOff>838200</xdr:rowOff>
    </xdr:to>
    <xdr:pic>
      <xdr:nvPicPr>
        <xdr:cNvPr id="25" name="Picture 26" descr="2f9d204ccb0dbd5ecab68e6c38e914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172575" y="121443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66675</xdr:rowOff>
    </xdr:from>
    <xdr:to>
      <xdr:col>10</xdr:col>
      <xdr:colOff>847725</xdr:colOff>
      <xdr:row>22</xdr:row>
      <xdr:rowOff>828675</xdr:rowOff>
    </xdr:to>
    <xdr:pic>
      <xdr:nvPicPr>
        <xdr:cNvPr id="26" name="Picture 27" descr="b4932a2732fe81c711dc89a16a90dd18"/>
        <xdr:cNvPicPr preferRelativeResize="1">
          <a:picLocks noChangeAspect="1"/>
        </xdr:cNvPicPr>
      </xdr:nvPicPr>
      <xdr:blipFill>
        <a:blip r:embed="rId26"/>
        <a:srcRect b="9448"/>
        <a:stretch>
          <a:fillRect/>
        </a:stretch>
      </xdr:blipFill>
      <xdr:spPr>
        <a:xfrm>
          <a:off x="9172575" y="130492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25</xdr:row>
      <xdr:rowOff>38100</xdr:rowOff>
    </xdr:from>
    <xdr:to>
      <xdr:col>4</xdr:col>
      <xdr:colOff>895350</xdr:colOff>
      <xdr:row>25</xdr:row>
      <xdr:rowOff>857250</xdr:rowOff>
    </xdr:to>
    <xdr:pic>
      <xdr:nvPicPr>
        <xdr:cNvPr id="27" name="Picture 28" descr="657a8e55ba4c313fec22421900724e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057650" y="1462087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26</xdr:row>
      <xdr:rowOff>38100</xdr:rowOff>
    </xdr:from>
    <xdr:to>
      <xdr:col>4</xdr:col>
      <xdr:colOff>857250</xdr:colOff>
      <xdr:row>26</xdr:row>
      <xdr:rowOff>847725</xdr:rowOff>
    </xdr:to>
    <xdr:pic>
      <xdr:nvPicPr>
        <xdr:cNvPr id="28" name="Picture 29" descr="dedb47faafb4c8125cffbb62f07a450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57650" y="1550670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27</xdr:row>
      <xdr:rowOff>47625</xdr:rowOff>
    </xdr:from>
    <xdr:to>
      <xdr:col>4</xdr:col>
      <xdr:colOff>866775</xdr:colOff>
      <xdr:row>27</xdr:row>
      <xdr:rowOff>828675</xdr:rowOff>
    </xdr:to>
    <xdr:pic>
      <xdr:nvPicPr>
        <xdr:cNvPr id="29" name="Picture 30" descr="03e8dbc4df15e64b73831422c36bbbe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76700" y="164020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28</xdr:row>
      <xdr:rowOff>38100</xdr:rowOff>
    </xdr:from>
    <xdr:to>
      <xdr:col>4</xdr:col>
      <xdr:colOff>876300</xdr:colOff>
      <xdr:row>28</xdr:row>
      <xdr:rowOff>847725</xdr:rowOff>
    </xdr:to>
    <xdr:pic>
      <xdr:nvPicPr>
        <xdr:cNvPr id="30" name="Picture 31" descr="71fce19db6de3e4307fecd98c35cdc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057650" y="1727835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9525</xdr:rowOff>
    </xdr:from>
    <xdr:to>
      <xdr:col>4</xdr:col>
      <xdr:colOff>876300</xdr:colOff>
      <xdr:row>29</xdr:row>
      <xdr:rowOff>828675</xdr:rowOff>
    </xdr:to>
    <xdr:pic>
      <xdr:nvPicPr>
        <xdr:cNvPr id="31" name="Picture 32" descr="73e775770eea70836607e7af3a100e1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076700" y="18135600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38100</xdr:rowOff>
    </xdr:from>
    <xdr:to>
      <xdr:col>10</xdr:col>
      <xdr:colOff>876300</xdr:colOff>
      <xdr:row>25</xdr:row>
      <xdr:rowOff>838200</xdr:rowOff>
    </xdr:to>
    <xdr:pic>
      <xdr:nvPicPr>
        <xdr:cNvPr id="32" name="Picture 33" descr="cf5815be869225195d2095ac23412bc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153525" y="146208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28575</xdr:rowOff>
    </xdr:from>
    <xdr:to>
      <xdr:col>10</xdr:col>
      <xdr:colOff>885825</xdr:colOff>
      <xdr:row>26</xdr:row>
      <xdr:rowOff>847725</xdr:rowOff>
    </xdr:to>
    <xdr:pic>
      <xdr:nvPicPr>
        <xdr:cNvPr id="33" name="Picture 34" descr="3ee60a793751597169ec808a764d8d5e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153525" y="1549717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9525</xdr:rowOff>
    </xdr:from>
    <xdr:to>
      <xdr:col>10</xdr:col>
      <xdr:colOff>885825</xdr:colOff>
      <xdr:row>27</xdr:row>
      <xdr:rowOff>847725</xdr:rowOff>
    </xdr:to>
    <xdr:pic>
      <xdr:nvPicPr>
        <xdr:cNvPr id="34" name="Picture 35" descr="52f1945fe35a8f44a8048b4ed12c32f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153525" y="163639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28</xdr:row>
      <xdr:rowOff>38100</xdr:rowOff>
    </xdr:from>
    <xdr:to>
      <xdr:col>10</xdr:col>
      <xdr:colOff>885825</xdr:colOff>
      <xdr:row>28</xdr:row>
      <xdr:rowOff>857250</xdr:rowOff>
    </xdr:to>
    <xdr:pic>
      <xdr:nvPicPr>
        <xdr:cNvPr id="35" name="Picture 36" descr="635b5480b25ddfeb308b2588fe887d1e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153525" y="1727835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29</xdr:row>
      <xdr:rowOff>28575</xdr:rowOff>
    </xdr:from>
    <xdr:to>
      <xdr:col>10</xdr:col>
      <xdr:colOff>876300</xdr:colOff>
      <xdr:row>29</xdr:row>
      <xdr:rowOff>866775</xdr:rowOff>
    </xdr:to>
    <xdr:pic>
      <xdr:nvPicPr>
        <xdr:cNvPr id="36" name="Picture 37" descr="20d463f3fa85c33534dd1f171780298e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144000" y="181546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27</xdr:row>
      <xdr:rowOff>0</xdr:rowOff>
    </xdr:from>
    <xdr:to>
      <xdr:col>8</xdr:col>
      <xdr:colOff>152400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4505325" y="50006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28</xdr:row>
      <xdr:rowOff>19050</xdr:rowOff>
    </xdr:from>
    <xdr:to>
      <xdr:col>8</xdr:col>
      <xdr:colOff>152400</xdr:colOff>
      <xdr:row>28</xdr:row>
      <xdr:rowOff>19050</xdr:rowOff>
    </xdr:to>
    <xdr:sp>
      <xdr:nvSpPr>
        <xdr:cNvPr id="2" name="Line 2"/>
        <xdr:cNvSpPr>
          <a:spLocks/>
        </xdr:cNvSpPr>
      </xdr:nvSpPr>
      <xdr:spPr>
        <a:xfrm>
          <a:off x="4505325" y="5181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25</xdr:row>
      <xdr:rowOff>0</xdr:rowOff>
    </xdr:from>
    <xdr:to>
      <xdr:col>7</xdr:col>
      <xdr:colOff>247650</xdr:colOff>
      <xdr:row>30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543300" y="4676775"/>
          <a:ext cx="971550" cy="8858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4422" y="10800"/>
                <a:pt x="4422" y="14322"/>
                <a:pt x="7278" y="17178"/>
              </a:cubicBezTo>
              <a:cubicBezTo>
                <a:pt x="10800" y="17178"/>
                <a:pt x="14322" y="17178"/>
                <a:pt x="17178" y="14322"/>
              </a:cubicBezTo>
              <a:cubicBezTo>
                <a:pt x="17178" y="10800"/>
                <a:pt x="17178" y="7278"/>
                <a:pt x="14322" y="4422"/>
              </a:cubicBezTo>
              <a:cubicBezTo>
                <a:pt x="10800" y="4422"/>
                <a:pt x="7278" y="4422"/>
                <a:pt x="4422" y="727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495300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38400" y="50006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57150</xdr:rowOff>
    </xdr:from>
    <xdr:to>
      <xdr:col>5</xdr:col>
      <xdr:colOff>514350</xdr:colOff>
      <xdr:row>28</xdr:row>
      <xdr:rowOff>57150</xdr:rowOff>
    </xdr:to>
    <xdr:sp>
      <xdr:nvSpPr>
        <xdr:cNvPr id="5" name="Line 5"/>
        <xdr:cNvSpPr>
          <a:spLocks/>
        </xdr:cNvSpPr>
      </xdr:nvSpPr>
      <xdr:spPr>
        <a:xfrm>
          <a:off x="666750" y="52197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438400" y="300037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20</xdr:row>
      <xdr:rowOff>114300</xdr:rowOff>
    </xdr:from>
    <xdr:to>
      <xdr:col>3</xdr:col>
      <xdr:colOff>466725</xdr:colOff>
      <xdr:row>26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2295525" y="39814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15</xdr:row>
      <xdr:rowOff>0</xdr:rowOff>
    </xdr:from>
    <xdr:to>
      <xdr:col>3</xdr:col>
      <xdr:colOff>400050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228850" y="30575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14</xdr:row>
      <xdr:rowOff>152400</xdr:rowOff>
    </xdr:from>
    <xdr:to>
      <xdr:col>3</xdr:col>
      <xdr:colOff>390525</xdr:colOff>
      <xdr:row>14</xdr:row>
      <xdr:rowOff>152400</xdr:rowOff>
    </xdr:to>
    <xdr:sp>
      <xdr:nvSpPr>
        <xdr:cNvPr id="9" name="Line 9"/>
        <xdr:cNvSpPr>
          <a:spLocks/>
        </xdr:cNvSpPr>
      </xdr:nvSpPr>
      <xdr:spPr>
        <a:xfrm>
          <a:off x="866775" y="30480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20</xdr:row>
      <xdr:rowOff>123825</xdr:rowOff>
    </xdr:from>
    <xdr:to>
      <xdr:col>3</xdr:col>
      <xdr:colOff>400050</xdr:colOff>
      <xdr:row>22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2228850" y="39909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22</xdr:row>
      <xdr:rowOff>152400</xdr:rowOff>
    </xdr:from>
    <xdr:to>
      <xdr:col>3</xdr:col>
      <xdr:colOff>390525</xdr:colOff>
      <xdr:row>22</xdr:row>
      <xdr:rowOff>152400</xdr:rowOff>
    </xdr:to>
    <xdr:sp>
      <xdr:nvSpPr>
        <xdr:cNvPr id="11" name="Line 11"/>
        <xdr:cNvSpPr>
          <a:spLocks/>
        </xdr:cNvSpPr>
      </xdr:nvSpPr>
      <xdr:spPr>
        <a:xfrm flipH="1">
          <a:off x="876300" y="43434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0</xdr:rowOff>
    </xdr:from>
    <xdr:to>
      <xdr:col>1</xdr:col>
      <xdr:colOff>247650</xdr:colOff>
      <xdr:row>22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857250" y="30575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17</xdr:row>
      <xdr:rowOff>9525</xdr:rowOff>
    </xdr:from>
    <xdr:to>
      <xdr:col>2</xdr:col>
      <xdr:colOff>485775</xdr:colOff>
      <xdr:row>20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390650" y="3390900"/>
          <a:ext cx="3143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14</xdr:row>
      <xdr:rowOff>152400</xdr:rowOff>
    </xdr:from>
    <xdr:to>
      <xdr:col>1</xdr:col>
      <xdr:colOff>600075</xdr:colOff>
      <xdr:row>17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57250" y="3048000"/>
          <a:ext cx="352425" cy="3333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1</xdr:col>
      <xdr:colOff>457200</xdr:colOff>
      <xdr:row>22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857250" y="3381375"/>
          <a:ext cx="2095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21</xdr:row>
      <xdr:rowOff>47625</xdr:rowOff>
    </xdr:from>
    <xdr:to>
      <xdr:col>3</xdr:col>
      <xdr:colOff>400050</xdr:colOff>
      <xdr:row>22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1990725" y="4076700"/>
          <a:ext cx="238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95250</xdr:rowOff>
    </xdr:from>
    <xdr:to>
      <xdr:col>2</xdr:col>
      <xdr:colOff>485775</xdr:colOff>
      <xdr:row>22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1390650" y="39624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28</xdr:row>
      <xdr:rowOff>152400</xdr:rowOff>
    </xdr:from>
    <xdr:to>
      <xdr:col>3</xdr:col>
      <xdr:colOff>209550</xdr:colOff>
      <xdr:row>35</xdr:row>
      <xdr:rowOff>114300</xdr:rowOff>
    </xdr:to>
    <xdr:sp>
      <xdr:nvSpPr>
        <xdr:cNvPr id="18" name="Rectangle 18"/>
        <xdr:cNvSpPr>
          <a:spLocks/>
        </xdr:cNvSpPr>
      </xdr:nvSpPr>
      <xdr:spPr>
        <a:xfrm>
          <a:off x="828675" y="5314950"/>
          <a:ext cx="12096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г/маркет "Метро"</a:t>
          </a:r>
        </a:p>
      </xdr:txBody>
    </xdr:sp>
    <xdr:clientData/>
  </xdr:twoCellAnchor>
  <xdr:twoCellAnchor>
    <xdr:from>
      <xdr:col>3</xdr:col>
      <xdr:colOff>400050</xdr:colOff>
      <xdr:row>22</xdr:row>
      <xdr:rowOff>152400</xdr:rowOff>
    </xdr:from>
    <xdr:to>
      <xdr:col>3</xdr:col>
      <xdr:colOff>400050</xdr:colOff>
      <xdr:row>25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2228850" y="4343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152400</xdr:rowOff>
    </xdr:from>
    <xdr:to>
      <xdr:col>3</xdr:col>
      <xdr:colOff>390525</xdr:colOff>
      <xdr:row>25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657225" y="48291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14</xdr:row>
      <xdr:rowOff>76200</xdr:rowOff>
    </xdr:from>
    <xdr:to>
      <xdr:col>3</xdr:col>
      <xdr:colOff>476250</xdr:colOff>
      <xdr:row>20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2305050" y="29718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152400</xdr:rowOff>
    </xdr:from>
    <xdr:to>
      <xdr:col>3</xdr:col>
      <xdr:colOff>466725</xdr:colOff>
      <xdr:row>26</xdr:row>
      <xdr:rowOff>152400</xdr:rowOff>
    </xdr:to>
    <xdr:sp>
      <xdr:nvSpPr>
        <xdr:cNvPr id="22" name="Line 22"/>
        <xdr:cNvSpPr>
          <a:spLocks/>
        </xdr:cNvSpPr>
      </xdr:nvSpPr>
      <xdr:spPr>
        <a:xfrm flipH="1">
          <a:off x="666750" y="49911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47625</xdr:rowOff>
    </xdr:from>
    <xdr:to>
      <xdr:col>6</xdr:col>
      <xdr:colOff>238125</xdr:colOff>
      <xdr:row>25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3895725" y="31051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15</xdr:row>
      <xdr:rowOff>38100</xdr:rowOff>
    </xdr:from>
    <xdr:to>
      <xdr:col>6</xdr:col>
      <xdr:colOff>476250</xdr:colOff>
      <xdr:row>25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4133850" y="309562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30</xdr:row>
      <xdr:rowOff>76200</xdr:rowOff>
    </xdr:from>
    <xdr:to>
      <xdr:col>6</xdr:col>
      <xdr:colOff>514350</xdr:colOff>
      <xdr:row>44</xdr:row>
      <xdr:rowOff>47625</xdr:rowOff>
    </xdr:to>
    <xdr:sp>
      <xdr:nvSpPr>
        <xdr:cNvPr id="25" name="Line 25"/>
        <xdr:cNvSpPr>
          <a:spLocks/>
        </xdr:cNvSpPr>
      </xdr:nvSpPr>
      <xdr:spPr>
        <a:xfrm>
          <a:off x="4162425" y="5562600"/>
          <a:ext cx="95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30</xdr:row>
      <xdr:rowOff>76200</xdr:rowOff>
    </xdr:from>
    <xdr:to>
      <xdr:col>6</xdr:col>
      <xdr:colOff>247650</xdr:colOff>
      <xdr:row>44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895725" y="5562600"/>
          <a:ext cx="952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36</xdr:row>
      <xdr:rowOff>47625</xdr:rowOff>
    </xdr:from>
    <xdr:to>
      <xdr:col>6</xdr:col>
      <xdr:colOff>47625</xdr:colOff>
      <xdr:row>42</xdr:row>
      <xdr:rowOff>152400</xdr:rowOff>
    </xdr:to>
    <xdr:sp>
      <xdr:nvSpPr>
        <xdr:cNvPr id="27" name="Rectangle 27"/>
        <xdr:cNvSpPr>
          <a:spLocks/>
        </xdr:cNvSpPr>
      </xdr:nvSpPr>
      <xdr:spPr>
        <a:xfrm>
          <a:off x="2724150" y="6505575"/>
          <a:ext cx="9810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авторынок "Фортуна"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466725</xdr:colOff>
      <xdr:row>23</xdr:row>
      <xdr:rowOff>0</xdr:rowOff>
    </xdr:from>
    <xdr:to>
      <xdr:col>6</xdr:col>
      <xdr:colOff>57150</xdr:colOff>
      <xdr:row>24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2905125" y="4352925"/>
          <a:ext cx="809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изд."МОЛОТ"</a:t>
          </a:r>
        </a:p>
      </xdr:txBody>
    </xdr:sp>
    <xdr:clientData/>
  </xdr:twoCellAnchor>
  <xdr:twoCellAnchor>
    <xdr:from>
      <xdr:col>1</xdr:col>
      <xdr:colOff>257175</xdr:colOff>
      <xdr:row>23</xdr:row>
      <xdr:rowOff>19050</xdr:rowOff>
    </xdr:from>
    <xdr:to>
      <xdr:col>3</xdr:col>
      <xdr:colOff>400050</xdr:colOff>
      <xdr:row>25</xdr:row>
      <xdr:rowOff>95250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866775" y="4371975"/>
          <a:ext cx="1362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завод "Балтика"</a:t>
          </a:r>
        </a:p>
      </xdr:txBody>
    </xdr:sp>
    <xdr:clientData/>
  </xdr:twoCellAnchor>
  <xdr:twoCellAnchor>
    <xdr:from>
      <xdr:col>2</xdr:col>
      <xdr:colOff>247650</xdr:colOff>
      <xdr:row>27</xdr:row>
      <xdr:rowOff>19050</xdr:rowOff>
    </xdr:from>
    <xdr:to>
      <xdr:col>5</xdr:col>
      <xdr:colOff>361950</xdr:colOff>
      <xdr:row>28</xdr:row>
      <xdr:rowOff>28575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466850" y="5019675"/>
          <a:ext cx="1943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ул.Доватора</a:t>
          </a:r>
        </a:p>
      </xdr:txBody>
    </xdr:sp>
    <xdr:clientData/>
  </xdr:twoCellAnchor>
  <xdr:twoCellAnchor>
    <xdr:from>
      <xdr:col>6</xdr:col>
      <xdr:colOff>285750</xdr:colOff>
      <xdr:row>30</xdr:row>
      <xdr:rowOff>123825</xdr:rowOff>
    </xdr:from>
    <xdr:to>
      <xdr:col>6</xdr:col>
      <xdr:colOff>466725</xdr:colOff>
      <xdr:row>36</xdr:row>
      <xdr:rowOff>38100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943350" y="5610225"/>
          <a:ext cx="1809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пр.Малиновского</a:t>
          </a:r>
        </a:p>
      </xdr:txBody>
    </xdr:sp>
    <xdr:clientData/>
  </xdr:twoCellAnchor>
  <xdr:twoCellAnchor>
    <xdr:from>
      <xdr:col>4</xdr:col>
      <xdr:colOff>428625</xdr:colOff>
      <xdr:row>27</xdr:row>
      <xdr:rowOff>76200</xdr:rowOff>
    </xdr:from>
    <xdr:to>
      <xdr:col>5</xdr:col>
      <xdr:colOff>400050</xdr:colOff>
      <xdr:row>27</xdr:row>
      <xdr:rowOff>76200</xdr:rowOff>
    </xdr:to>
    <xdr:sp>
      <xdr:nvSpPr>
        <xdr:cNvPr id="32" name="Line 32"/>
        <xdr:cNvSpPr>
          <a:spLocks/>
        </xdr:cNvSpPr>
      </xdr:nvSpPr>
      <xdr:spPr>
        <a:xfrm flipH="1">
          <a:off x="2867025" y="5076825"/>
          <a:ext cx="581025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23</xdr:row>
      <xdr:rowOff>85725</xdr:rowOff>
    </xdr:from>
    <xdr:to>
      <xdr:col>3</xdr:col>
      <xdr:colOff>533400</xdr:colOff>
      <xdr:row>26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2362200" y="4438650"/>
          <a:ext cx="0" cy="51435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47625</xdr:rowOff>
    </xdr:from>
    <xdr:to>
      <xdr:col>3</xdr:col>
      <xdr:colOff>523875</xdr:colOff>
      <xdr:row>20</xdr:row>
      <xdr:rowOff>47625</xdr:rowOff>
    </xdr:to>
    <xdr:sp>
      <xdr:nvSpPr>
        <xdr:cNvPr id="34" name="Line 34"/>
        <xdr:cNvSpPr>
          <a:spLocks/>
        </xdr:cNvSpPr>
      </xdr:nvSpPr>
      <xdr:spPr>
        <a:xfrm flipH="1" flipV="1">
          <a:off x="1933575" y="3914775"/>
          <a:ext cx="419100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9525</xdr:rowOff>
    </xdr:from>
    <xdr:to>
      <xdr:col>2</xdr:col>
      <xdr:colOff>57150</xdr:colOff>
      <xdr:row>19</xdr:row>
      <xdr:rowOff>85725</xdr:rowOff>
    </xdr:to>
    <xdr:sp>
      <xdr:nvSpPr>
        <xdr:cNvPr id="35" name="Line 35"/>
        <xdr:cNvSpPr>
          <a:spLocks/>
        </xdr:cNvSpPr>
      </xdr:nvSpPr>
      <xdr:spPr>
        <a:xfrm flipV="1">
          <a:off x="1276350" y="3390900"/>
          <a:ext cx="0" cy="400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57150</xdr:rowOff>
    </xdr:from>
    <xdr:to>
      <xdr:col>3</xdr:col>
      <xdr:colOff>333375</xdr:colOff>
      <xdr:row>16</xdr:row>
      <xdr:rowOff>85725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266825" y="2952750"/>
          <a:ext cx="895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Доватора 146"л"</a:t>
          </a:r>
        </a:p>
      </xdr:txBody>
    </xdr:sp>
    <xdr:clientData/>
  </xdr:twoCellAnchor>
  <xdr:twoCellAnchor>
    <xdr:from>
      <xdr:col>6</xdr:col>
      <xdr:colOff>361950</xdr:colOff>
      <xdr:row>19</xdr:row>
      <xdr:rowOff>85725</xdr:rowOff>
    </xdr:from>
    <xdr:to>
      <xdr:col>6</xdr:col>
      <xdr:colOff>361950</xdr:colOff>
      <xdr:row>23</xdr:row>
      <xdr:rowOff>142875</xdr:rowOff>
    </xdr:to>
    <xdr:sp>
      <xdr:nvSpPr>
        <xdr:cNvPr id="37" name="Line 37"/>
        <xdr:cNvSpPr>
          <a:spLocks/>
        </xdr:cNvSpPr>
      </xdr:nvSpPr>
      <xdr:spPr>
        <a:xfrm>
          <a:off x="4019550" y="37909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38100</xdr:rowOff>
    </xdr:from>
    <xdr:to>
      <xdr:col>6</xdr:col>
      <xdr:colOff>476250</xdr:colOff>
      <xdr:row>18</xdr:row>
      <xdr:rowOff>47625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3924300" y="2771775"/>
          <a:ext cx="2095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Таганрог</a:t>
          </a:r>
        </a:p>
      </xdr:txBody>
    </xdr:sp>
    <xdr:clientData/>
  </xdr:twoCellAnchor>
  <xdr:twoCellAnchor>
    <xdr:from>
      <xdr:col>6</xdr:col>
      <xdr:colOff>276225</xdr:colOff>
      <xdr:row>37</xdr:row>
      <xdr:rowOff>104775</xdr:rowOff>
    </xdr:from>
    <xdr:to>
      <xdr:col>6</xdr:col>
      <xdr:colOff>476250</xdr:colOff>
      <xdr:row>44</xdr:row>
      <xdr:rowOff>114300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933825" y="6724650"/>
          <a:ext cx="200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Краснодар</a:t>
          </a:r>
        </a:p>
      </xdr:txBody>
    </xdr:sp>
    <xdr:clientData/>
  </xdr:twoCellAnchor>
  <xdr:twoCellAnchor>
    <xdr:from>
      <xdr:col>6</xdr:col>
      <xdr:colOff>371475</xdr:colOff>
      <xdr:row>43</xdr:row>
      <xdr:rowOff>57150</xdr:rowOff>
    </xdr:from>
    <xdr:to>
      <xdr:col>6</xdr:col>
      <xdr:colOff>371475</xdr:colOff>
      <xdr:row>47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76485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29</xdr:row>
      <xdr:rowOff>66675</xdr:rowOff>
    </xdr:from>
    <xdr:to>
      <xdr:col>5</xdr:col>
      <xdr:colOff>552450</xdr:colOff>
      <xdr:row>32</xdr:row>
      <xdr:rowOff>142875</xdr:rowOff>
    </xdr:to>
    <xdr:sp>
      <xdr:nvSpPr>
        <xdr:cNvPr id="41" name="Rectangle 41"/>
        <xdr:cNvSpPr>
          <a:spLocks/>
        </xdr:cNvSpPr>
      </xdr:nvSpPr>
      <xdr:spPr>
        <a:xfrm>
          <a:off x="3067050" y="5391150"/>
          <a:ext cx="5334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АЗС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grohoztorg.ru" TargetMode="External" /><Relationship Id="rId2" Type="http://schemas.openxmlformats.org/officeDocument/2006/relationships/hyperlink" Target="http://www.agrohoztorg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grohoztorg.ru" TargetMode="External" /><Relationship Id="rId2" Type="http://schemas.openxmlformats.org/officeDocument/2006/relationships/hyperlink" Target="http://www.agrohoztorg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agrohoztorg.ru" TargetMode="External" /><Relationship Id="rId2" Type="http://schemas.openxmlformats.org/officeDocument/2006/relationships/hyperlink" Target="http://www.agrohoztorg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agrohoztorg.ru" TargetMode="External" /><Relationship Id="rId2" Type="http://schemas.openxmlformats.org/officeDocument/2006/relationships/hyperlink" Target="http://www.agrohoztorg.ru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agrohoztorg.ru" TargetMode="External" /><Relationship Id="rId2" Type="http://schemas.openxmlformats.org/officeDocument/2006/relationships/hyperlink" Target="http://www.agrohoztorg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poprotect.ru/prod/agriculture/support/support_139.html" TargetMode="External" /><Relationship Id="rId2" Type="http://schemas.openxmlformats.org/officeDocument/2006/relationships/hyperlink" Target="http://www.npoprotect.ru/prod/agriculture/support/support_2.html" TargetMode="External" /><Relationship Id="rId3" Type="http://schemas.openxmlformats.org/officeDocument/2006/relationships/hyperlink" Target="http://www.npoprotect.ru/prod/agriculture/support/support_123.html" TargetMode="External" /><Relationship Id="rId4" Type="http://schemas.openxmlformats.org/officeDocument/2006/relationships/hyperlink" Target="http://www.npoprotect.ru/prod/agriculture/support/support_123.html" TargetMode="External" /><Relationship Id="rId5" Type="http://schemas.openxmlformats.org/officeDocument/2006/relationships/hyperlink" Target="http://www.npoprotect.ru/prod/agriculture/support/support_97.html" TargetMode="External" /><Relationship Id="rId6" Type="http://schemas.openxmlformats.org/officeDocument/2006/relationships/hyperlink" Target="http://www.npoprotect.ru/prod/agriculture/support/support_96.html" TargetMode="External" /><Relationship Id="rId7" Type="http://schemas.openxmlformats.org/officeDocument/2006/relationships/hyperlink" Target="http://www.npoprotect.ru/prod/agriculture/support/support_99.html" TargetMode="External" /><Relationship Id="rId8" Type="http://schemas.openxmlformats.org/officeDocument/2006/relationships/hyperlink" Target="http://www.npoprotect.ru/prod/agriculture/support/support_39.html" TargetMode="External" /><Relationship Id="rId9" Type="http://schemas.openxmlformats.org/officeDocument/2006/relationships/hyperlink" Target="http://www.npoprotect.ru/prod/agriculture/support/support_39.html" TargetMode="External" /><Relationship Id="rId10" Type="http://schemas.openxmlformats.org/officeDocument/2006/relationships/hyperlink" Target="http://www.npoprotect.ru/prod/agriculture/support/support_39.html" TargetMode="External" /><Relationship Id="rId11" Type="http://schemas.openxmlformats.org/officeDocument/2006/relationships/hyperlink" Target="http://www.npoprotect.ru/prod/agriculture/support/support_39.html" TargetMode="External" /><Relationship Id="rId12" Type="http://schemas.openxmlformats.org/officeDocument/2006/relationships/hyperlink" Target="http://www.npoprotect.ru/prod/agriculture/support/support_39.html" TargetMode="External" /><Relationship Id="rId13" Type="http://schemas.openxmlformats.org/officeDocument/2006/relationships/hyperlink" Target="http://www.npoprotect.ru/prod/agriculture/support/support_39.html" TargetMode="External" /><Relationship Id="rId14" Type="http://schemas.openxmlformats.org/officeDocument/2006/relationships/hyperlink" Target="http://www.npoprotect.ru/prod/agriculture/support/support_103.html" TargetMode="External" /><Relationship Id="rId15" Type="http://schemas.openxmlformats.org/officeDocument/2006/relationships/hyperlink" Target="http://www.npoprotect.ru/prod/agriculture/support/support_101.html" TargetMode="External" /><Relationship Id="rId16" Type="http://schemas.openxmlformats.org/officeDocument/2006/relationships/hyperlink" Target="http://www.npoprotect.ru/prod/agriculture/support/support_91.html" TargetMode="External" /><Relationship Id="rId17" Type="http://schemas.openxmlformats.org/officeDocument/2006/relationships/hyperlink" Target="http://www.npoprotect.ru/prod/agriculture/support/support_108.html" TargetMode="External" /><Relationship Id="rId18" Type="http://schemas.openxmlformats.org/officeDocument/2006/relationships/hyperlink" Target="http://www.npoprotect.ru/prod/agriculture/support/support_108.html" TargetMode="External" /><Relationship Id="rId19" Type="http://schemas.openxmlformats.org/officeDocument/2006/relationships/hyperlink" Target="http://www.npoprotect.ru/prod/agriculture/support/support_108.html" TargetMode="External" /><Relationship Id="rId20" Type="http://schemas.openxmlformats.org/officeDocument/2006/relationships/hyperlink" Target="http://www.npoprotect.ru/prod/agriculture/support/support_108.html" TargetMode="External" /><Relationship Id="rId21" Type="http://schemas.openxmlformats.org/officeDocument/2006/relationships/hyperlink" Target="http://www.npoprotect.ru/prod/agriculture/support/support_108.html" TargetMode="External" /><Relationship Id="rId22" Type="http://schemas.openxmlformats.org/officeDocument/2006/relationships/hyperlink" Target="http://www.npoprotect.ru/prod/agriculture/support/support_102.html" TargetMode="External" /><Relationship Id="rId23" Type="http://schemas.openxmlformats.org/officeDocument/2006/relationships/hyperlink" Target="http://www.npoprotect.ru/prod/agriculture/support/support_100.html" TargetMode="External" /><Relationship Id="rId24" Type="http://schemas.openxmlformats.org/officeDocument/2006/relationships/hyperlink" Target="http://www.npoprotect.ru/prod/agriculture/support/support_103.html" TargetMode="External" /><Relationship Id="rId25" Type="http://schemas.openxmlformats.org/officeDocument/2006/relationships/hyperlink" Target="http://www.npoprotect.ru/prod/agriculture/support/support_104.html" TargetMode="External" /><Relationship Id="rId26" Type="http://schemas.openxmlformats.org/officeDocument/2006/relationships/hyperlink" Target="http://www.npoprotect.ru/prod/agriculture/support/support_108.html" TargetMode="External" /><Relationship Id="rId27" Type="http://schemas.openxmlformats.org/officeDocument/2006/relationships/hyperlink" Target="http://www.npoprotect.ru/prod/building/support/support_38.html" TargetMode="External" /><Relationship Id="rId28" Type="http://schemas.openxmlformats.org/officeDocument/2006/relationships/hyperlink" Target="http://www.npoprotect.ru/prod/building/support/support_38.html" TargetMode="External" /><Relationship Id="rId29" Type="http://schemas.openxmlformats.org/officeDocument/2006/relationships/hyperlink" Target="http://www.npoprotect.ru/prod/building/support/support_3.html" TargetMode="External" /><Relationship Id="rId30" Type="http://schemas.openxmlformats.org/officeDocument/2006/relationships/hyperlink" Target="http://www.npoprotect.ru/prod/building/support/support_54.html" TargetMode="External" /><Relationship Id="rId31" Type="http://schemas.openxmlformats.org/officeDocument/2006/relationships/hyperlink" Target="http://www.npoprotect.ru/prod/building/support/support_54.html" TargetMode="External" /><Relationship Id="rId32" Type="http://schemas.openxmlformats.org/officeDocument/2006/relationships/hyperlink" Target="http://www.npoprotect.ru/prod/building/support/support_54.html" TargetMode="External" /><Relationship Id="rId33" Type="http://schemas.openxmlformats.org/officeDocument/2006/relationships/hyperlink" Target="http://www.npoprotect.ru/prod/building/support/support_54.html" TargetMode="External" /><Relationship Id="rId34" Type="http://schemas.openxmlformats.org/officeDocument/2006/relationships/hyperlink" Target="http://www.npoprotect.ru/prod/building/support/support_54.html" TargetMode="External" /><Relationship Id="rId35" Type="http://schemas.openxmlformats.org/officeDocument/2006/relationships/hyperlink" Target="http://www.npoprotect.ru/prod/building/support/support_86.html" TargetMode="External" /><Relationship Id="rId36" Type="http://schemas.openxmlformats.org/officeDocument/2006/relationships/hyperlink" Target="http://www.npoprotect.ru/prod/building/support/support_90.html" TargetMode="External" /><Relationship Id="rId37" Type="http://schemas.openxmlformats.org/officeDocument/2006/relationships/hyperlink" Target="mailto:agrohoztorg@list.ru" TargetMode="External" /><Relationship Id="rId38" Type="http://schemas.openxmlformats.org/officeDocument/2006/relationships/drawing" Target="../drawings/drawing2.xml" /><Relationship Id="rId3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grohoztorg@list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467"/>
  <sheetViews>
    <sheetView showGridLines="0" tabSelected="1" zoomScale="120" zoomScaleNormal="120" zoomScaleSheetLayoutView="100" workbookViewId="0" topLeftCell="A1">
      <selection activeCell="A11" sqref="A11:C12"/>
    </sheetView>
  </sheetViews>
  <sheetFormatPr defaultColWidth="9.140625" defaultRowHeight="12.75"/>
  <cols>
    <col min="1" max="1" width="14.00390625" style="0" customWidth="1"/>
    <col min="2" max="2" width="11.00390625" style="1" customWidth="1"/>
    <col min="3" max="3" width="11.7109375" style="10" customWidth="1"/>
    <col min="4" max="4" width="11.57421875" style="2" customWidth="1"/>
    <col min="5" max="5" width="11.7109375" style="16" customWidth="1"/>
    <col min="6" max="6" width="9.140625" style="2" customWidth="1"/>
    <col min="7" max="7" width="12.421875" style="16" customWidth="1"/>
    <col min="8" max="8" width="9.140625" style="2" customWidth="1"/>
    <col min="9" max="9" width="12.421875" style="16" customWidth="1"/>
    <col min="10" max="10" width="9.140625" style="2" customWidth="1"/>
    <col min="11" max="11" width="12.421875" style="16" customWidth="1"/>
    <col min="12" max="12" width="9.140625" style="2" customWidth="1"/>
    <col min="13" max="13" width="14.7109375" style="16" customWidth="1"/>
    <col min="14" max="14" width="15.00390625" style="272" hidden="1" customWidth="1"/>
    <col min="15" max="15" width="15.00390625" style="332" hidden="1" customWidth="1"/>
    <col min="16" max="16" width="15.00390625" style="273" hidden="1" customWidth="1"/>
    <col min="17" max="17" width="15.00390625" style="250" hidden="1" customWidth="1"/>
    <col min="18" max="18" width="15.00390625" style="251" hidden="1" customWidth="1"/>
    <col min="19" max="20" width="15.00390625" style="148" customWidth="1"/>
    <col min="21" max="16384" width="9.140625" style="148" customWidth="1"/>
  </cols>
  <sheetData>
    <row r="1" spans="1:18" s="5" customFormat="1" ht="41.25" customHeight="1" thickBot="1">
      <c r="A1" s="21" t="s">
        <v>8</v>
      </c>
      <c r="B1" s="3"/>
      <c r="C1" s="8"/>
      <c r="D1" s="4"/>
      <c r="E1" s="14"/>
      <c r="F1" s="4"/>
      <c r="G1" s="14"/>
      <c r="H1" s="4"/>
      <c r="I1" s="14"/>
      <c r="J1" s="4"/>
      <c r="K1" s="548" t="s">
        <v>516</v>
      </c>
      <c r="L1" s="549"/>
      <c r="M1" s="14"/>
      <c r="N1" s="271"/>
      <c r="O1" s="331"/>
      <c r="P1" s="271"/>
      <c r="Q1" s="220"/>
      <c r="R1" s="221"/>
    </row>
    <row r="2" spans="1:18" s="7" customFormat="1" ht="16.5" customHeight="1">
      <c r="A2" s="556" t="s">
        <v>9</v>
      </c>
      <c r="B2" s="6"/>
      <c r="C2" s="9"/>
      <c r="E2" s="15"/>
      <c r="G2" s="15"/>
      <c r="I2" s="15"/>
      <c r="K2" s="550" t="s">
        <v>49</v>
      </c>
      <c r="L2" s="551"/>
      <c r="M2" s="57"/>
      <c r="N2" s="271"/>
      <c r="O2" s="331"/>
      <c r="P2" s="271"/>
      <c r="Q2" s="222"/>
      <c r="R2" s="223"/>
    </row>
    <row r="3" spans="6:18" s="7" customFormat="1" ht="13.5" customHeight="1">
      <c r="F3" s="43"/>
      <c r="G3" s="43"/>
      <c r="H3" s="43"/>
      <c r="I3" s="43"/>
      <c r="K3" s="552" t="s">
        <v>21</v>
      </c>
      <c r="L3" s="551" t="s">
        <v>655</v>
      </c>
      <c r="M3" s="58"/>
      <c r="N3" s="271"/>
      <c r="O3" s="331"/>
      <c r="P3" s="271"/>
      <c r="Q3" s="224"/>
      <c r="R3" s="224"/>
    </row>
    <row r="4" spans="6:18" s="7" customFormat="1" ht="13.5" customHeight="1">
      <c r="F4" s="43"/>
      <c r="G4" s="43"/>
      <c r="H4" s="43"/>
      <c r="I4" s="43"/>
      <c r="K4" s="552" t="s">
        <v>21</v>
      </c>
      <c r="L4" s="551" t="s">
        <v>10</v>
      </c>
      <c r="M4" s="58"/>
      <c r="N4" s="271"/>
      <c r="O4" s="331"/>
      <c r="P4" s="271"/>
      <c r="Q4" s="224"/>
      <c r="R4" s="224"/>
    </row>
    <row r="5" spans="5:18" s="7" customFormat="1" ht="12.75" customHeight="1">
      <c r="E5" s="43"/>
      <c r="F5" s="43"/>
      <c r="G5" s="43"/>
      <c r="H5" s="43"/>
      <c r="I5" s="43"/>
      <c r="K5" s="552" t="s">
        <v>425</v>
      </c>
      <c r="L5" s="551" t="s">
        <v>11</v>
      </c>
      <c r="M5" s="58"/>
      <c r="N5" s="271"/>
      <c r="O5" s="331"/>
      <c r="P5" s="271"/>
      <c r="Q5" s="224"/>
      <c r="R5" s="224"/>
    </row>
    <row r="6" spans="5:18" ht="12.75" customHeight="1">
      <c r="E6" s="43"/>
      <c r="F6" s="43"/>
      <c r="G6" s="43"/>
      <c r="H6" s="43"/>
      <c r="I6" s="43"/>
      <c r="K6" s="553" t="s">
        <v>12</v>
      </c>
      <c r="L6" s="547" t="s">
        <v>656</v>
      </c>
      <c r="M6" s="61"/>
      <c r="Q6" s="224"/>
      <c r="R6" s="224"/>
    </row>
    <row r="7" spans="1:18" ht="12.75" customHeight="1">
      <c r="A7" s="23"/>
      <c r="B7" s="23"/>
      <c r="C7" s="22"/>
      <c r="F7" s="288"/>
      <c r="G7" s="289"/>
      <c r="H7" s="288"/>
      <c r="I7" s="289"/>
      <c r="J7" s="288"/>
      <c r="K7" s="554" t="s">
        <v>214</v>
      </c>
      <c r="L7" s="555" t="s">
        <v>213</v>
      </c>
      <c r="M7" s="291"/>
      <c r="Q7" s="225"/>
      <c r="R7" s="225"/>
    </row>
    <row r="8" spans="1:18" ht="12.75" customHeight="1">
      <c r="A8" s="23"/>
      <c r="B8" s="23"/>
      <c r="C8" s="22"/>
      <c r="F8" s="288"/>
      <c r="G8" s="289"/>
      <c r="H8" s="288"/>
      <c r="I8" s="289"/>
      <c r="J8" s="288"/>
      <c r="K8" s="178"/>
      <c r="L8" s="290"/>
      <c r="M8" s="291"/>
      <c r="Q8" s="225"/>
      <c r="R8" s="225"/>
    </row>
    <row r="9" spans="1:18" ht="12.75" customHeight="1">
      <c r="A9" s="23"/>
      <c r="B9" s="23"/>
      <c r="C9" s="22"/>
      <c r="E9" s="786" t="s">
        <v>744</v>
      </c>
      <c r="F9" s="786"/>
      <c r="G9" s="786"/>
      <c r="H9" s="786"/>
      <c r="I9" s="786"/>
      <c r="J9" s="288"/>
      <c r="K9" s="178"/>
      <c r="L9" s="290"/>
      <c r="M9" s="291"/>
      <c r="Q9" s="225"/>
      <c r="R9" s="225"/>
    </row>
    <row r="10" spans="1:18" ht="39.75" customHeight="1">
      <c r="A10" s="659">
        <v>123</v>
      </c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Q10" s="225"/>
      <c r="R10" s="225"/>
    </row>
    <row r="11" spans="1:18" s="502" customFormat="1" ht="15.75" customHeight="1">
      <c r="A11" s="670" t="s">
        <v>381</v>
      </c>
      <c r="B11" s="671"/>
      <c r="C11" s="672"/>
      <c r="D11" s="186" t="s">
        <v>2</v>
      </c>
      <c r="E11" s="186" t="s">
        <v>25</v>
      </c>
      <c r="F11" s="673" t="s">
        <v>48</v>
      </c>
      <c r="G11" s="674"/>
      <c r="H11" s="673" t="s">
        <v>45</v>
      </c>
      <c r="I11" s="674"/>
      <c r="J11" s="673" t="s">
        <v>46</v>
      </c>
      <c r="K11" s="674"/>
      <c r="L11" s="673" t="s">
        <v>47</v>
      </c>
      <c r="M11" s="674"/>
      <c r="N11" s="275"/>
      <c r="O11" s="333"/>
      <c r="P11" s="275"/>
      <c r="Q11" s="676" t="s">
        <v>383</v>
      </c>
      <c r="R11" s="677"/>
    </row>
    <row r="12" spans="1:18" ht="15.75" customHeight="1" thickBot="1">
      <c r="A12" s="663"/>
      <c r="B12" s="664"/>
      <c r="C12" s="665"/>
      <c r="D12" s="184" t="s">
        <v>14</v>
      </c>
      <c r="E12" s="184" t="s">
        <v>24</v>
      </c>
      <c r="F12" s="182" t="s">
        <v>357</v>
      </c>
      <c r="G12" s="183" t="s">
        <v>7</v>
      </c>
      <c r="H12" s="182" t="s">
        <v>357</v>
      </c>
      <c r="I12" s="183" t="s">
        <v>7</v>
      </c>
      <c r="J12" s="182" t="s">
        <v>357</v>
      </c>
      <c r="K12" s="183" t="s">
        <v>7</v>
      </c>
      <c r="L12" s="182" t="s">
        <v>357</v>
      </c>
      <c r="M12" s="183" t="s">
        <v>7</v>
      </c>
      <c r="N12" s="44" t="s">
        <v>16</v>
      </c>
      <c r="O12" s="332" t="s">
        <v>390</v>
      </c>
      <c r="Q12" s="229" t="s">
        <v>357</v>
      </c>
      <c r="R12" s="461" t="s">
        <v>7</v>
      </c>
    </row>
    <row r="13" spans="1:18" ht="15.75" customHeight="1" thickTop="1">
      <c r="A13" s="881" t="s">
        <v>393</v>
      </c>
      <c r="B13" s="882"/>
      <c r="C13" s="883"/>
      <c r="D13" s="54">
        <v>1.6</v>
      </c>
      <c r="E13" s="217">
        <v>1000</v>
      </c>
      <c r="F13" s="156">
        <f aca="true" t="shared" si="0" ref="F13:F49">N13*1.35</f>
        <v>4.617</v>
      </c>
      <c r="G13" s="157">
        <f aca="true" t="shared" si="1" ref="G13:G50">CEILING(F13*E13,10)</f>
        <v>4620</v>
      </c>
      <c r="H13" s="156">
        <f>F13*0.97</f>
        <v>4.47849</v>
      </c>
      <c r="I13" s="157">
        <f aca="true" t="shared" si="2" ref="I13:I50">CEILING(H13*E13,10)</f>
        <v>4480</v>
      </c>
      <c r="J13" s="156">
        <f>F13*0.95</f>
        <v>4.38615</v>
      </c>
      <c r="K13" s="157">
        <f aca="true" t="shared" si="3" ref="K13:K50">CEILING(J13*E13,10)</f>
        <v>4390</v>
      </c>
      <c r="L13" s="156">
        <f>F13*0.93</f>
        <v>4.293810000000001</v>
      </c>
      <c r="M13" s="157">
        <f aca="true" t="shared" si="4" ref="M13:M50">CEILING(L13*E13,10)</f>
        <v>4300</v>
      </c>
      <c r="N13" s="276">
        <v>3.42</v>
      </c>
      <c r="Q13" s="237">
        <f aca="true" t="shared" si="5" ref="Q13:Q29">F13*0.91</f>
        <v>4.2014700000000005</v>
      </c>
      <c r="R13" s="462">
        <f aca="true" t="shared" si="6" ref="R13:R29">G13*0.91</f>
        <v>4204.2</v>
      </c>
    </row>
    <row r="14" spans="1:18" ht="15.75" customHeight="1">
      <c r="A14" s="860"/>
      <c r="B14" s="861"/>
      <c r="C14" s="862"/>
      <c r="D14" s="32">
        <v>2.1</v>
      </c>
      <c r="E14" s="189">
        <v>400</v>
      </c>
      <c r="F14" s="36">
        <f t="shared" si="0"/>
        <v>6.0615000000000006</v>
      </c>
      <c r="G14" s="37">
        <f t="shared" si="1"/>
        <v>2430</v>
      </c>
      <c r="H14" s="36">
        <f aca="true" t="shared" si="7" ref="H14:H49">F14*0.97</f>
        <v>5.8796550000000005</v>
      </c>
      <c r="I14" s="37">
        <f t="shared" si="2"/>
        <v>2360</v>
      </c>
      <c r="J14" s="36">
        <f aca="true" t="shared" si="8" ref="J14:J49">F14*0.95</f>
        <v>5.758425</v>
      </c>
      <c r="K14" s="37">
        <f t="shared" si="3"/>
        <v>2310</v>
      </c>
      <c r="L14" s="36">
        <f aca="true" t="shared" si="9" ref="L14:L49">F14*0.93</f>
        <v>5.637195000000001</v>
      </c>
      <c r="M14" s="37">
        <f t="shared" si="4"/>
        <v>2260</v>
      </c>
      <c r="N14" s="276">
        <v>4.49</v>
      </c>
      <c r="Q14" s="238">
        <f t="shared" si="5"/>
        <v>5.5159650000000005</v>
      </c>
      <c r="R14" s="463">
        <f t="shared" si="6"/>
        <v>2211.3</v>
      </c>
    </row>
    <row r="15" spans="1:18" ht="15.75" customHeight="1">
      <c r="A15" s="860"/>
      <c r="B15" s="861"/>
      <c r="C15" s="862"/>
      <c r="D15" s="32">
        <v>3.2</v>
      </c>
      <c r="E15" s="211">
        <v>400</v>
      </c>
      <c r="F15" s="36">
        <f t="shared" si="0"/>
        <v>9.2475</v>
      </c>
      <c r="G15" s="37">
        <f t="shared" si="1"/>
        <v>3700</v>
      </c>
      <c r="H15" s="36">
        <f t="shared" si="7"/>
        <v>8.970075</v>
      </c>
      <c r="I15" s="37">
        <f t="shared" si="2"/>
        <v>3590</v>
      </c>
      <c r="J15" s="36">
        <f t="shared" si="8"/>
        <v>8.785125</v>
      </c>
      <c r="K15" s="37">
        <f t="shared" si="3"/>
        <v>3520</v>
      </c>
      <c r="L15" s="36">
        <f t="shared" si="9"/>
        <v>8.600175</v>
      </c>
      <c r="M15" s="37">
        <f t="shared" si="4"/>
        <v>3450</v>
      </c>
      <c r="N15" s="276">
        <v>6.85</v>
      </c>
      <c r="Q15" s="238">
        <f t="shared" si="5"/>
        <v>8.415225000000001</v>
      </c>
      <c r="R15" s="463">
        <f t="shared" si="6"/>
        <v>3367</v>
      </c>
    </row>
    <row r="16" spans="1:18" ht="15.75" customHeight="1">
      <c r="A16" s="860"/>
      <c r="B16" s="861"/>
      <c r="C16" s="862"/>
      <c r="D16" s="252">
        <v>4.2</v>
      </c>
      <c r="E16" s="219">
        <v>400</v>
      </c>
      <c r="F16" s="168">
        <f t="shared" si="0"/>
        <v>12.136500000000002</v>
      </c>
      <c r="G16" s="169">
        <f t="shared" si="1"/>
        <v>4860</v>
      </c>
      <c r="H16" s="168">
        <f t="shared" si="7"/>
        <v>11.772405000000001</v>
      </c>
      <c r="I16" s="169">
        <f t="shared" si="2"/>
        <v>4710</v>
      </c>
      <c r="J16" s="168">
        <f t="shared" si="8"/>
        <v>11.529675000000001</v>
      </c>
      <c r="K16" s="169">
        <f t="shared" si="3"/>
        <v>4620</v>
      </c>
      <c r="L16" s="168">
        <f t="shared" si="9"/>
        <v>11.286945000000003</v>
      </c>
      <c r="M16" s="169">
        <f t="shared" si="4"/>
        <v>4520</v>
      </c>
      <c r="N16" s="276">
        <v>8.99</v>
      </c>
      <c r="Q16" s="243">
        <f t="shared" si="5"/>
        <v>11.044215000000001</v>
      </c>
      <c r="R16" s="464">
        <f t="shared" si="6"/>
        <v>4422.6</v>
      </c>
    </row>
    <row r="17" spans="1:18" ht="15.75" customHeight="1">
      <c r="A17" s="860"/>
      <c r="B17" s="861"/>
      <c r="C17" s="862"/>
      <c r="D17" s="32">
        <v>6.3</v>
      </c>
      <c r="E17" s="189">
        <v>200</v>
      </c>
      <c r="F17" s="36">
        <f>N17*1.4</f>
        <v>21.63</v>
      </c>
      <c r="G17" s="37">
        <f t="shared" si="1"/>
        <v>4330</v>
      </c>
      <c r="H17" s="36">
        <f t="shared" si="7"/>
        <v>20.981099999999998</v>
      </c>
      <c r="I17" s="37">
        <f t="shared" si="2"/>
        <v>4200</v>
      </c>
      <c r="J17" s="36">
        <f t="shared" si="8"/>
        <v>20.548499999999997</v>
      </c>
      <c r="K17" s="37">
        <f t="shared" si="3"/>
        <v>4110</v>
      </c>
      <c r="L17" s="36">
        <f t="shared" si="9"/>
        <v>20.1159</v>
      </c>
      <c r="M17" s="37">
        <f t="shared" si="4"/>
        <v>4030</v>
      </c>
      <c r="N17" s="276">
        <v>15.45</v>
      </c>
      <c r="Q17" s="238">
        <f t="shared" si="5"/>
        <v>19.6833</v>
      </c>
      <c r="R17" s="463">
        <f t="shared" si="6"/>
        <v>3940.3</v>
      </c>
    </row>
    <row r="18" spans="1:18" ht="15.75" customHeight="1">
      <c r="A18" s="860"/>
      <c r="B18" s="861"/>
      <c r="C18" s="862"/>
      <c r="D18" s="32">
        <v>8.3</v>
      </c>
      <c r="E18" s="211">
        <v>200</v>
      </c>
      <c r="F18" s="36">
        <f>N18*1.4</f>
        <v>28.461999999999996</v>
      </c>
      <c r="G18" s="37">
        <f>CEILING(F18*E18,10)</f>
        <v>5700</v>
      </c>
      <c r="H18" s="36">
        <f>F18*0.97</f>
        <v>27.608139999999995</v>
      </c>
      <c r="I18" s="37">
        <f>CEILING(H18*E18,10)</f>
        <v>5530</v>
      </c>
      <c r="J18" s="36">
        <f>F18*0.95</f>
        <v>27.038899999999995</v>
      </c>
      <c r="K18" s="37">
        <f>CEILING(J18*E18,10)</f>
        <v>5410</v>
      </c>
      <c r="L18" s="36">
        <f>F18*0.93</f>
        <v>26.469659999999998</v>
      </c>
      <c r="M18" s="37">
        <f>CEILING(L18*E18,10)</f>
        <v>5300</v>
      </c>
      <c r="N18" s="276">
        <v>20.33</v>
      </c>
      <c r="Q18" s="238">
        <f aca="true" t="shared" si="10" ref="Q18:R20">F18*0.91</f>
        <v>25.900419999999997</v>
      </c>
      <c r="R18" s="463">
        <f t="shared" si="10"/>
        <v>5187</v>
      </c>
    </row>
    <row r="19" spans="1:18" ht="15.75" customHeight="1">
      <c r="A19" s="860"/>
      <c r="B19" s="861"/>
      <c r="C19" s="862"/>
      <c r="D19" s="32">
        <v>9.2</v>
      </c>
      <c r="E19" s="189">
        <v>200</v>
      </c>
      <c r="F19" s="36">
        <f>N19*1.4</f>
        <v>32.55</v>
      </c>
      <c r="G19" s="37">
        <f>CEILING(F19*E19,10)</f>
        <v>6510</v>
      </c>
      <c r="H19" s="36">
        <f>F19*0.97</f>
        <v>31.573499999999996</v>
      </c>
      <c r="I19" s="37">
        <f>CEILING(H19*E19,10)</f>
        <v>6320</v>
      </c>
      <c r="J19" s="36">
        <f>F19*0.95</f>
        <v>30.922499999999996</v>
      </c>
      <c r="K19" s="37">
        <f>CEILING(J19*E19,10)</f>
        <v>6190</v>
      </c>
      <c r="L19" s="36">
        <f>F19*0.93</f>
        <v>30.2715</v>
      </c>
      <c r="M19" s="37">
        <f>CEILING(L19*E19,10)</f>
        <v>6060</v>
      </c>
      <c r="N19" s="276">
        <v>23.25</v>
      </c>
      <c r="Q19" s="238">
        <f t="shared" si="10"/>
        <v>29.6205</v>
      </c>
      <c r="R19" s="463">
        <f t="shared" si="10"/>
        <v>5924.1</v>
      </c>
    </row>
    <row r="20" spans="1:18" ht="15.75" customHeight="1">
      <c r="A20" s="878"/>
      <c r="B20" s="879"/>
      <c r="C20" s="880"/>
      <c r="D20" s="256">
        <v>12.2</v>
      </c>
      <c r="E20" s="215">
        <v>200</v>
      </c>
      <c r="F20" s="257">
        <f>N20*1.4</f>
        <v>42.629999999999995</v>
      </c>
      <c r="G20" s="258">
        <f>CEILING(F20*E20,10)</f>
        <v>8530</v>
      </c>
      <c r="H20" s="257">
        <f>F20*0.97</f>
        <v>41.351099999999995</v>
      </c>
      <c r="I20" s="258">
        <f>CEILING(H20*E20,10)</f>
        <v>8280</v>
      </c>
      <c r="J20" s="257">
        <f>F20*0.95</f>
        <v>40.49849999999999</v>
      </c>
      <c r="K20" s="258">
        <f>CEILING(J20*E20,10)</f>
        <v>8100</v>
      </c>
      <c r="L20" s="257">
        <f>F20*0.93</f>
        <v>39.6459</v>
      </c>
      <c r="M20" s="258">
        <f>CEILING(L20*E20,10)</f>
        <v>7930</v>
      </c>
      <c r="N20" s="276">
        <v>30.45</v>
      </c>
      <c r="Q20" s="259">
        <f t="shared" si="10"/>
        <v>38.793299999999995</v>
      </c>
      <c r="R20" s="465">
        <f t="shared" si="10"/>
        <v>7762.3</v>
      </c>
    </row>
    <row r="21" spans="1:18" ht="15.75" customHeight="1">
      <c r="A21" s="857" t="s">
        <v>392</v>
      </c>
      <c r="B21" s="858"/>
      <c r="C21" s="859"/>
      <c r="D21" s="33">
        <v>1.6</v>
      </c>
      <c r="E21" s="218">
        <v>500</v>
      </c>
      <c r="F21" s="158">
        <f t="shared" si="0"/>
        <v>7.708500000000001</v>
      </c>
      <c r="G21" s="159">
        <f t="shared" si="1"/>
        <v>3860</v>
      </c>
      <c r="H21" s="158">
        <f t="shared" si="7"/>
        <v>7.477245000000001</v>
      </c>
      <c r="I21" s="159">
        <f t="shared" si="2"/>
        <v>3740</v>
      </c>
      <c r="J21" s="158">
        <f t="shared" si="8"/>
        <v>7.323075</v>
      </c>
      <c r="K21" s="159">
        <f t="shared" si="3"/>
        <v>3670</v>
      </c>
      <c r="L21" s="158">
        <f t="shared" si="9"/>
        <v>7.168905000000001</v>
      </c>
      <c r="M21" s="159">
        <f t="shared" si="4"/>
        <v>3590</v>
      </c>
      <c r="N21" s="276">
        <v>5.71</v>
      </c>
      <c r="Q21" s="240">
        <f t="shared" si="5"/>
        <v>7.014735000000001</v>
      </c>
      <c r="R21" s="466">
        <f t="shared" si="6"/>
        <v>3512.6</v>
      </c>
    </row>
    <row r="22" spans="1:18" ht="15.75" customHeight="1">
      <c r="A22" s="860"/>
      <c r="B22" s="861"/>
      <c r="C22" s="862"/>
      <c r="D22" s="32">
        <v>2.1</v>
      </c>
      <c r="E22" s="189">
        <v>300</v>
      </c>
      <c r="F22" s="36">
        <f t="shared" si="0"/>
        <v>10.125</v>
      </c>
      <c r="G22" s="37">
        <f t="shared" si="1"/>
        <v>3040</v>
      </c>
      <c r="H22" s="36">
        <f t="shared" si="7"/>
        <v>9.82125</v>
      </c>
      <c r="I22" s="37">
        <f t="shared" si="2"/>
        <v>2950</v>
      </c>
      <c r="J22" s="36">
        <f t="shared" si="8"/>
        <v>9.61875</v>
      </c>
      <c r="K22" s="37">
        <f t="shared" si="3"/>
        <v>2890</v>
      </c>
      <c r="L22" s="36">
        <f t="shared" si="9"/>
        <v>9.41625</v>
      </c>
      <c r="M22" s="37">
        <f t="shared" si="4"/>
        <v>2830</v>
      </c>
      <c r="N22" s="276">
        <v>7.5</v>
      </c>
      <c r="Q22" s="238">
        <f t="shared" si="5"/>
        <v>9.213750000000001</v>
      </c>
      <c r="R22" s="463">
        <f t="shared" si="6"/>
        <v>2766.4</v>
      </c>
    </row>
    <row r="23" spans="1:18" ht="15.75" customHeight="1">
      <c r="A23" s="860"/>
      <c r="B23" s="861"/>
      <c r="C23" s="862"/>
      <c r="D23" s="32">
        <v>3.2</v>
      </c>
      <c r="E23" s="211">
        <v>300</v>
      </c>
      <c r="F23" s="36">
        <f t="shared" si="0"/>
        <v>15.417000000000002</v>
      </c>
      <c r="G23" s="37">
        <f t="shared" si="1"/>
        <v>4630</v>
      </c>
      <c r="H23" s="36">
        <f t="shared" si="7"/>
        <v>14.954490000000002</v>
      </c>
      <c r="I23" s="37">
        <f t="shared" si="2"/>
        <v>4490</v>
      </c>
      <c r="J23" s="36">
        <f t="shared" si="8"/>
        <v>14.64615</v>
      </c>
      <c r="K23" s="37">
        <f t="shared" si="3"/>
        <v>4400</v>
      </c>
      <c r="L23" s="36">
        <f t="shared" si="9"/>
        <v>14.337810000000003</v>
      </c>
      <c r="M23" s="37">
        <f t="shared" si="4"/>
        <v>4310</v>
      </c>
      <c r="N23" s="276">
        <v>11.42</v>
      </c>
      <c r="Q23" s="238">
        <f t="shared" si="5"/>
        <v>14.029470000000002</v>
      </c>
      <c r="R23" s="463">
        <f t="shared" si="6"/>
        <v>4213.3</v>
      </c>
    </row>
    <row r="24" spans="1:18" ht="15.75" customHeight="1">
      <c r="A24" s="860"/>
      <c r="B24" s="861"/>
      <c r="C24" s="862"/>
      <c r="D24" s="32">
        <v>4.2</v>
      </c>
      <c r="E24" s="219">
        <v>300</v>
      </c>
      <c r="F24" s="36">
        <f t="shared" si="0"/>
        <v>20.236500000000003</v>
      </c>
      <c r="G24" s="37">
        <f t="shared" si="1"/>
        <v>6080</v>
      </c>
      <c r="H24" s="36">
        <f t="shared" si="7"/>
        <v>19.629405000000002</v>
      </c>
      <c r="I24" s="37">
        <f t="shared" si="2"/>
        <v>5890</v>
      </c>
      <c r="J24" s="36">
        <f t="shared" si="8"/>
        <v>19.224675</v>
      </c>
      <c r="K24" s="37">
        <f t="shared" si="3"/>
        <v>5770</v>
      </c>
      <c r="L24" s="36">
        <f t="shared" si="9"/>
        <v>18.819945000000004</v>
      </c>
      <c r="M24" s="37">
        <f t="shared" si="4"/>
        <v>5650</v>
      </c>
      <c r="N24" s="276">
        <v>14.99</v>
      </c>
      <c r="Q24" s="238">
        <f t="shared" si="5"/>
        <v>18.415215000000003</v>
      </c>
      <c r="R24" s="463">
        <f t="shared" si="6"/>
        <v>5532.8</v>
      </c>
    </row>
    <row r="25" spans="1:18" ht="15.75" customHeight="1">
      <c r="A25" s="860"/>
      <c r="B25" s="861"/>
      <c r="C25" s="862"/>
      <c r="D25" s="263">
        <v>6.3</v>
      </c>
      <c r="E25" s="189">
        <v>150</v>
      </c>
      <c r="F25" s="264">
        <f>N25*1.4</f>
        <v>36.12</v>
      </c>
      <c r="G25" s="258">
        <f t="shared" si="1"/>
        <v>5420</v>
      </c>
      <c r="H25" s="257">
        <f t="shared" si="7"/>
        <v>35.03639999999999</v>
      </c>
      <c r="I25" s="258">
        <f>CEILING(H25*E25,10)</f>
        <v>5260</v>
      </c>
      <c r="J25" s="257">
        <f t="shared" si="8"/>
        <v>34.31399999999999</v>
      </c>
      <c r="K25" s="258">
        <f t="shared" si="3"/>
        <v>5150</v>
      </c>
      <c r="L25" s="257">
        <f t="shared" si="9"/>
        <v>33.5916</v>
      </c>
      <c r="M25" s="258">
        <f t="shared" si="4"/>
        <v>5040</v>
      </c>
      <c r="N25" s="276">
        <v>25.8</v>
      </c>
      <c r="Q25" s="259">
        <f t="shared" si="5"/>
        <v>32.8692</v>
      </c>
      <c r="R25" s="465">
        <f t="shared" si="6"/>
        <v>4932.2</v>
      </c>
    </row>
    <row r="26" spans="1:18" ht="15.75" customHeight="1">
      <c r="A26" s="860"/>
      <c r="B26" s="861"/>
      <c r="C26" s="862"/>
      <c r="D26" s="32">
        <v>8.3</v>
      </c>
      <c r="E26" s="211">
        <v>150</v>
      </c>
      <c r="F26" s="36">
        <f>N26*1.4</f>
        <v>47.459999999999994</v>
      </c>
      <c r="G26" s="37">
        <f>CEILING(F26*E26,10)</f>
        <v>7120</v>
      </c>
      <c r="H26" s="36">
        <f>F26*0.97</f>
        <v>46.036199999999994</v>
      </c>
      <c r="I26" s="37">
        <f>CEILING(H26*E26,10)</f>
        <v>6910</v>
      </c>
      <c r="J26" s="36">
        <f>F26*0.95</f>
        <v>45.08699999999999</v>
      </c>
      <c r="K26" s="37">
        <f>CEILING(J26*E26,10)</f>
        <v>6770</v>
      </c>
      <c r="L26" s="36">
        <f>F26*0.93</f>
        <v>44.1378</v>
      </c>
      <c r="M26" s="37">
        <f>CEILING(L26*E26,10)</f>
        <v>6630</v>
      </c>
      <c r="N26" s="276">
        <v>33.9</v>
      </c>
      <c r="Q26" s="238">
        <f aca="true" t="shared" si="11" ref="Q26:R28">F26*0.91</f>
        <v>43.188599999999994</v>
      </c>
      <c r="R26" s="463">
        <f t="shared" si="11"/>
        <v>6479.2</v>
      </c>
    </row>
    <row r="27" spans="1:18" ht="15.75" customHeight="1">
      <c r="A27" s="860"/>
      <c r="B27" s="861"/>
      <c r="C27" s="862"/>
      <c r="D27" s="32">
        <v>9.2</v>
      </c>
      <c r="E27" s="189">
        <v>150</v>
      </c>
      <c r="F27" s="36">
        <f>N27*1.4</f>
        <v>54.18</v>
      </c>
      <c r="G27" s="37">
        <f>CEILING(F27*E27,10)</f>
        <v>8130</v>
      </c>
      <c r="H27" s="36">
        <f>F27*0.97</f>
        <v>52.5546</v>
      </c>
      <c r="I27" s="37">
        <f>CEILING(H27*E27,10)</f>
        <v>7890</v>
      </c>
      <c r="J27" s="36">
        <f>F27*0.95</f>
        <v>51.471</v>
      </c>
      <c r="K27" s="37">
        <f>CEILING(J27*E27,10)</f>
        <v>7730</v>
      </c>
      <c r="L27" s="36">
        <f>F27*0.93</f>
        <v>50.3874</v>
      </c>
      <c r="M27" s="37">
        <f>CEILING(L27*E27,10)</f>
        <v>7560</v>
      </c>
      <c r="N27" s="276">
        <v>38.7</v>
      </c>
      <c r="Q27" s="238">
        <f t="shared" si="11"/>
        <v>49.3038</v>
      </c>
      <c r="R27" s="463">
        <f t="shared" si="11"/>
        <v>7398.3</v>
      </c>
    </row>
    <row r="28" spans="1:18" ht="15.75" customHeight="1">
      <c r="A28" s="878"/>
      <c r="B28" s="879"/>
      <c r="C28" s="880"/>
      <c r="D28" s="260">
        <v>12.2</v>
      </c>
      <c r="E28" s="215">
        <v>150</v>
      </c>
      <c r="F28" s="261">
        <f>N28*1.4</f>
        <v>71.092</v>
      </c>
      <c r="G28" s="169">
        <f>CEILING(F28*E28,10)</f>
        <v>10670</v>
      </c>
      <c r="H28" s="168">
        <f>F28*0.97</f>
        <v>68.95924</v>
      </c>
      <c r="I28" s="169">
        <f>CEILING(H28*E28,10)</f>
        <v>10350</v>
      </c>
      <c r="J28" s="168">
        <f>F28*0.95</f>
        <v>67.53739999999999</v>
      </c>
      <c r="K28" s="169">
        <f>CEILING(J28*E28,10)</f>
        <v>10140</v>
      </c>
      <c r="L28" s="168">
        <f>F28*0.93</f>
        <v>66.11556</v>
      </c>
      <c r="M28" s="169">
        <f>CEILING(L28*E28,10)</f>
        <v>9920</v>
      </c>
      <c r="N28" s="276">
        <v>50.78</v>
      </c>
      <c r="Q28" s="243">
        <f t="shared" si="11"/>
        <v>64.69372</v>
      </c>
      <c r="R28" s="464">
        <f t="shared" si="11"/>
        <v>9709.7</v>
      </c>
    </row>
    <row r="29" spans="1:18" ht="15.75" customHeight="1">
      <c r="A29" s="857" t="s">
        <v>391</v>
      </c>
      <c r="B29" s="858"/>
      <c r="C29" s="859"/>
      <c r="D29" s="33">
        <v>1.6</v>
      </c>
      <c r="E29" s="218">
        <v>500</v>
      </c>
      <c r="F29" s="158">
        <f t="shared" si="0"/>
        <v>10.8</v>
      </c>
      <c r="G29" s="159">
        <f t="shared" si="1"/>
        <v>5400</v>
      </c>
      <c r="H29" s="158">
        <f t="shared" si="7"/>
        <v>10.476</v>
      </c>
      <c r="I29" s="159">
        <f t="shared" si="2"/>
        <v>5240</v>
      </c>
      <c r="J29" s="158">
        <f t="shared" si="8"/>
        <v>10.26</v>
      </c>
      <c r="K29" s="159">
        <f t="shared" si="3"/>
        <v>5130</v>
      </c>
      <c r="L29" s="158">
        <f t="shared" si="9"/>
        <v>10.044</v>
      </c>
      <c r="M29" s="159">
        <f t="shared" si="4"/>
        <v>5030</v>
      </c>
      <c r="N29" s="276">
        <v>8</v>
      </c>
      <c r="Q29" s="240">
        <f t="shared" si="5"/>
        <v>9.828000000000001</v>
      </c>
      <c r="R29" s="466">
        <f t="shared" si="6"/>
        <v>4914</v>
      </c>
    </row>
    <row r="30" spans="1:18" ht="15.75" customHeight="1">
      <c r="A30" s="860"/>
      <c r="B30" s="861"/>
      <c r="C30" s="862"/>
      <c r="D30" s="32">
        <v>2.1</v>
      </c>
      <c r="E30" s="189">
        <v>200</v>
      </c>
      <c r="F30" s="36">
        <f t="shared" si="0"/>
        <v>14.161500000000002</v>
      </c>
      <c r="G30" s="37">
        <f t="shared" si="1"/>
        <v>2840</v>
      </c>
      <c r="H30" s="36">
        <f t="shared" si="7"/>
        <v>13.736655</v>
      </c>
      <c r="I30" s="37">
        <f t="shared" si="2"/>
        <v>2750</v>
      </c>
      <c r="J30" s="36">
        <f t="shared" si="8"/>
        <v>13.453425000000001</v>
      </c>
      <c r="K30" s="37">
        <f t="shared" si="3"/>
        <v>2700</v>
      </c>
      <c r="L30" s="36">
        <f t="shared" si="9"/>
        <v>13.170195000000003</v>
      </c>
      <c r="M30" s="37">
        <f t="shared" si="4"/>
        <v>2640</v>
      </c>
      <c r="N30" s="276">
        <v>10.49</v>
      </c>
      <c r="Q30" s="238">
        <f aca="true" t="shared" si="12" ref="Q30:Q44">F30*0.91</f>
        <v>12.886965000000002</v>
      </c>
      <c r="R30" s="463">
        <f aca="true" t="shared" si="13" ref="R30:R44">G30*0.91</f>
        <v>2584.4</v>
      </c>
    </row>
    <row r="31" spans="1:18" ht="15.75" customHeight="1">
      <c r="A31" s="860"/>
      <c r="B31" s="861"/>
      <c r="C31" s="862"/>
      <c r="D31" s="32">
        <v>3.2</v>
      </c>
      <c r="E31" s="211">
        <v>200</v>
      </c>
      <c r="F31" s="36">
        <f t="shared" si="0"/>
        <v>21.5865</v>
      </c>
      <c r="G31" s="37">
        <f t="shared" si="1"/>
        <v>4320</v>
      </c>
      <c r="H31" s="36">
        <f t="shared" si="7"/>
        <v>20.938905000000002</v>
      </c>
      <c r="I31" s="37">
        <f t="shared" si="2"/>
        <v>4190</v>
      </c>
      <c r="J31" s="36">
        <f t="shared" si="8"/>
        <v>20.507175</v>
      </c>
      <c r="K31" s="37">
        <f t="shared" si="3"/>
        <v>4110</v>
      </c>
      <c r="L31" s="36">
        <f t="shared" si="9"/>
        <v>20.075445000000002</v>
      </c>
      <c r="M31" s="37">
        <f t="shared" si="4"/>
        <v>4020</v>
      </c>
      <c r="N31" s="276">
        <v>15.99</v>
      </c>
      <c r="Q31" s="238">
        <f t="shared" si="12"/>
        <v>19.643715</v>
      </c>
      <c r="R31" s="463">
        <f t="shared" si="13"/>
        <v>3931.2000000000003</v>
      </c>
    </row>
    <row r="32" spans="1:18" ht="15.75" customHeight="1">
      <c r="A32" s="860"/>
      <c r="B32" s="861"/>
      <c r="C32" s="862"/>
      <c r="D32" s="32">
        <v>4.2</v>
      </c>
      <c r="E32" s="219">
        <v>200</v>
      </c>
      <c r="F32" s="36">
        <f t="shared" si="0"/>
        <v>28.323000000000004</v>
      </c>
      <c r="G32" s="37">
        <f t="shared" si="1"/>
        <v>5670</v>
      </c>
      <c r="H32" s="36">
        <f t="shared" si="7"/>
        <v>27.47331</v>
      </c>
      <c r="I32" s="37">
        <f t="shared" si="2"/>
        <v>5500</v>
      </c>
      <c r="J32" s="36">
        <f t="shared" si="8"/>
        <v>26.906850000000002</v>
      </c>
      <c r="K32" s="37">
        <f t="shared" si="3"/>
        <v>5390</v>
      </c>
      <c r="L32" s="36">
        <f t="shared" si="9"/>
        <v>26.340390000000006</v>
      </c>
      <c r="M32" s="37">
        <f t="shared" si="4"/>
        <v>5270</v>
      </c>
      <c r="N32" s="276">
        <v>20.98</v>
      </c>
      <c r="Q32" s="238">
        <f t="shared" si="12"/>
        <v>25.773930000000004</v>
      </c>
      <c r="R32" s="463">
        <f t="shared" si="13"/>
        <v>5159.7</v>
      </c>
    </row>
    <row r="33" spans="1:18" ht="15.75" customHeight="1">
      <c r="A33" s="860"/>
      <c r="B33" s="861"/>
      <c r="C33" s="862"/>
      <c r="D33" s="256">
        <v>6.3</v>
      </c>
      <c r="E33" s="262">
        <v>100</v>
      </c>
      <c r="F33" s="257">
        <f>N33*1.4</f>
        <v>50.60999999999999</v>
      </c>
      <c r="G33" s="258">
        <f t="shared" si="1"/>
        <v>5070</v>
      </c>
      <c r="H33" s="257">
        <f t="shared" si="7"/>
        <v>49.09169999999999</v>
      </c>
      <c r="I33" s="258">
        <f t="shared" si="2"/>
        <v>4910</v>
      </c>
      <c r="J33" s="257">
        <f t="shared" si="8"/>
        <v>48.07949999999999</v>
      </c>
      <c r="K33" s="258">
        <f t="shared" si="3"/>
        <v>4810</v>
      </c>
      <c r="L33" s="257">
        <f t="shared" si="9"/>
        <v>47.067299999999996</v>
      </c>
      <c r="M33" s="258">
        <f t="shared" si="4"/>
        <v>4710</v>
      </c>
      <c r="N33" s="276">
        <v>36.15</v>
      </c>
      <c r="Q33" s="259">
        <f t="shared" si="12"/>
        <v>46.055099999999996</v>
      </c>
      <c r="R33" s="465">
        <f t="shared" si="13"/>
        <v>4613.7</v>
      </c>
    </row>
    <row r="34" spans="1:18" ht="15.75" customHeight="1">
      <c r="A34" s="860"/>
      <c r="B34" s="861"/>
      <c r="C34" s="862"/>
      <c r="D34" s="32">
        <v>8.3</v>
      </c>
      <c r="E34" s="211">
        <v>100</v>
      </c>
      <c r="F34" s="36">
        <f>N34*1.4</f>
        <v>66.36</v>
      </c>
      <c r="G34" s="37">
        <f t="shared" si="1"/>
        <v>6640</v>
      </c>
      <c r="H34" s="36">
        <f t="shared" si="7"/>
        <v>64.36919999999999</v>
      </c>
      <c r="I34" s="37">
        <f t="shared" si="2"/>
        <v>6440</v>
      </c>
      <c r="J34" s="36">
        <f t="shared" si="8"/>
        <v>63.041999999999994</v>
      </c>
      <c r="K34" s="37">
        <f t="shared" si="3"/>
        <v>6310</v>
      </c>
      <c r="L34" s="36">
        <f t="shared" si="9"/>
        <v>61.714800000000004</v>
      </c>
      <c r="M34" s="37">
        <f t="shared" si="4"/>
        <v>6180</v>
      </c>
      <c r="N34" s="276">
        <v>47.4</v>
      </c>
      <c r="Q34" s="238">
        <f t="shared" si="12"/>
        <v>60.3876</v>
      </c>
      <c r="R34" s="463">
        <f t="shared" si="13"/>
        <v>6042.400000000001</v>
      </c>
    </row>
    <row r="35" spans="1:18" ht="15.75" customHeight="1">
      <c r="A35" s="860"/>
      <c r="B35" s="861"/>
      <c r="C35" s="862"/>
      <c r="D35" s="32">
        <v>9.2</v>
      </c>
      <c r="E35" s="189">
        <v>100</v>
      </c>
      <c r="F35" s="36">
        <f>N35*1.4</f>
        <v>75.80999999999999</v>
      </c>
      <c r="G35" s="37">
        <f t="shared" si="1"/>
        <v>7590</v>
      </c>
      <c r="H35" s="36">
        <f t="shared" si="7"/>
        <v>73.53569999999999</v>
      </c>
      <c r="I35" s="37">
        <f t="shared" si="2"/>
        <v>7360</v>
      </c>
      <c r="J35" s="36">
        <f t="shared" si="8"/>
        <v>72.01949999999998</v>
      </c>
      <c r="K35" s="37">
        <f t="shared" si="3"/>
        <v>7210</v>
      </c>
      <c r="L35" s="36">
        <f t="shared" si="9"/>
        <v>70.5033</v>
      </c>
      <c r="M35" s="37">
        <f t="shared" si="4"/>
        <v>7060</v>
      </c>
      <c r="N35" s="276">
        <v>54.15</v>
      </c>
      <c r="Q35" s="238">
        <f t="shared" si="12"/>
        <v>68.9871</v>
      </c>
      <c r="R35" s="463">
        <f t="shared" si="13"/>
        <v>6906.900000000001</v>
      </c>
    </row>
    <row r="36" spans="1:18" ht="15.75" customHeight="1">
      <c r="A36" s="878"/>
      <c r="B36" s="879"/>
      <c r="C36" s="880"/>
      <c r="D36" s="365">
        <v>12.2</v>
      </c>
      <c r="E36" s="216">
        <v>100</v>
      </c>
      <c r="F36" s="366">
        <f>N36*1.4</f>
        <v>99.568</v>
      </c>
      <c r="G36" s="367">
        <f t="shared" si="1"/>
        <v>9960</v>
      </c>
      <c r="H36" s="366">
        <f t="shared" si="7"/>
        <v>96.58095999999999</v>
      </c>
      <c r="I36" s="367">
        <f t="shared" si="2"/>
        <v>9660</v>
      </c>
      <c r="J36" s="366">
        <f t="shared" si="8"/>
        <v>94.58959999999999</v>
      </c>
      <c r="K36" s="367">
        <f t="shared" si="3"/>
        <v>9460</v>
      </c>
      <c r="L36" s="366">
        <f t="shared" si="9"/>
        <v>92.59824</v>
      </c>
      <c r="M36" s="367">
        <f t="shared" si="4"/>
        <v>9260</v>
      </c>
      <c r="N36" s="276">
        <v>71.12</v>
      </c>
      <c r="Q36" s="259">
        <f t="shared" si="12"/>
        <v>90.60688</v>
      </c>
      <c r="R36" s="465">
        <f t="shared" si="13"/>
        <v>9063.6</v>
      </c>
    </row>
    <row r="37" spans="1:18" ht="15.75" customHeight="1">
      <c r="A37" s="866" t="s">
        <v>504</v>
      </c>
      <c r="B37" s="867"/>
      <c r="C37" s="868"/>
      <c r="D37" s="369">
        <v>1.6</v>
      </c>
      <c r="E37" s="370">
        <v>200</v>
      </c>
      <c r="F37" s="213">
        <f t="shared" si="0"/>
        <v>15.417000000000002</v>
      </c>
      <c r="G37" s="214">
        <f>CEILING(F37*E37,10)</f>
        <v>3090</v>
      </c>
      <c r="H37" s="213">
        <f>F37*0.97</f>
        <v>14.954490000000002</v>
      </c>
      <c r="I37" s="214">
        <f>CEILING(H37*E37,10)</f>
        <v>3000</v>
      </c>
      <c r="J37" s="213">
        <f>F37*0.95</f>
        <v>14.64615</v>
      </c>
      <c r="K37" s="214">
        <f>CEILING(J37*E37,10)</f>
        <v>2930</v>
      </c>
      <c r="L37" s="213">
        <f>F37*0.93</f>
        <v>14.337810000000003</v>
      </c>
      <c r="M37" s="214">
        <f>CEILING(L37*E37,10)</f>
        <v>2870</v>
      </c>
      <c r="N37" s="276">
        <v>11.42</v>
      </c>
      <c r="Q37" s="259"/>
      <c r="R37" s="465"/>
    </row>
    <row r="38" spans="1:18" ht="15.75" customHeight="1">
      <c r="A38" s="869"/>
      <c r="B38" s="870"/>
      <c r="C38" s="871"/>
      <c r="D38" s="32">
        <v>2.1</v>
      </c>
      <c r="E38" s="368">
        <v>150</v>
      </c>
      <c r="F38" s="213">
        <f t="shared" si="0"/>
        <v>20.236500000000003</v>
      </c>
      <c r="G38" s="214">
        <f t="shared" si="1"/>
        <v>3040</v>
      </c>
      <c r="H38" s="213">
        <f t="shared" si="7"/>
        <v>19.629405000000002</v>
      </c>
      <c r="I38" s="214">
        <f t="shared" si="2"/>
        <v>2950</v>
      </c>
      <c r="J38" s="213">
        <f t="shared" si="8"/>
        <v>19.224675</v>
      </c>
      <c r="K38" s="214">
        <f t="shared" si="3"/>
        <v>2890</v>
      </c>
      <c r="L38" s="213">
        <f t="shared" si="9"/>
        <v>18.819945000000004</v>
      </c>
      <c r="M38" s="214">
        <f t="shared" si="4"/>
        <v>2830</v>
      </c>
      <c r="N38" s="276">
        <v>14.99</v>
      </c>
      <c r="Q38" s="240">
        <f t="shared" si="12"/>
        <v>18.415215000000003</v>
      </c>
      <c r="R38" s="466">
        <f t="shared" si="13"/>
        <v>2766.4</v>
      </c>
    </row>
    <row r="39" spans="1:18" ht="15.75" customHeight="1">
      <c r="A39" s="869"/>
      <c r="B39" s="870"/>
      <c r="C39" s="871"/>
      <c r="D39" s="32">
        <v>3.2</v>
      </c>
      <c r="E39" s="371">
        <v>150</v>
      </c>
      <c r="F39" s="36">
        <f t="shared" si="0"/>
        <v>30.834000000000003</v>
      </c>
      <c r="G39" s="37">
        <f t="shared" si="1"/>
        <v>4630</v>
      </c>
      <c r="H39" s="36">
        <f t="shared" si="7"/>
        <v>29.908980000000003</v>
      </c>
      <c r="I39" s="37">
        <f t="shared" si="2"/>
        <v>4490</v>
      </c>
      <c r="J39" s="36">
        <f t="shared" si="8"/>
        <v>29.2923</v>
      </c>
      <c r="K39" s="37">
        <f t="shared" si="3"/>
        <v>4400</v>
      </c>
      <c r="L39" s="36">
        <f t="shared" si="9"/>
        <v>28.675620000000006</v>
      </c>
      <c r="M39" s="37">
        <f t="shared" si="4"/>
        <v>4310</v>
      </c>
      <c r="N39" s="276">
        <v>22.84</v>
      </c>
      <c r="Q39" s="238">
        <f t="shared" si="12"/>
        <v>28.058940000000003</v>
      </c>
      <c r="R39" s="463">
        <f t="shared" si="13"/>
        <v>4213.3</v>
      </c>
    </row>
    <row r="40" spans="1:18" ht="15.75" customHeight="1">
      <c r="A40" s="869"/>
      <c r="B40" s="870"/>
      <c r="C40" s="871"/>
      <c r="D40" s="32">
        <v>4.2</v>
      </c>
      <c r="E40" s="286">
        <v>150</v>
      </c>
      <c r="F40" s="36">
        <f t="shared" si="0"/>
        <v>40.473000000000006</v>
      </c>
      <c r="G40" s="37">
        <f t="shared" si="1"/>
        <v>6080</v>
      </c>
      <c r="H40" s="36">
        <f t="shared" si="7"/>
        <v>39.258810000000004</v>
      </c>
      <c r="I40" s="37">
        <f t="shared" si="2"/>
        <v>5890</v>
      </c>
      <c r="J40" s="36">
        <f t="shared" si="8"/>
        <v>38.44935</v>
      </c>
      <c r="K40" s="37">
        <f t="shared" si="3"/>
        <v>5770</v>
      </c>
      <c r="L40" s="36">
        <f t="shared" si="9"/>
        <v>37.63989000000001</v>
      </c>
      <c r="M40" s="37">
        <f t="shared" si="4"/>
        <v>5650</v>
      </c>
      <c r="N40" s="276">
        <v>29.98</v>
      </c>
      <c r="Q40" s="238">
        <f t="shared" si="12"/>
        <v>36.83043000000001</v>
      </c>
      <c r="R40" s="463">
        <f t="shared" si="13"/>
        <v>5532.8</v>
      </c>
    </row>
    <row r="41" spans="1:18" ht="15.75" customHeight="1">
      <c r="A41" s="869"/>
      <c r="B41" s="870"/>
      <c r="C41" s="871"/>
      <c r="D41" s="32">
        <v>6.3</v>
      </c>
      <c r="E41" s="262">
        <v>75</v>
      </c>
      <c r="F41" s="36">
        <f>N41*1.4</f>
        <v>72.24</v>
      </c>
      <c r="G41" s="37">
        <f t="shared" si="1"/>
        <v>5420</v>
      </c>
      <c r="H41" s="36">
        <f t="shared" si="7"/>
        <v>70.07279999999999</v>
      </c>
      <c r="I41" s="37">
        <f t="shared" si="2"/>
        <v>5260</v>
      </c>
      <c r="J41" s="36">
        <f t="shared" si="8"/>
        <v>68.62799999999999</v>
      </c>
      <c r="K41" s="37">
        <f t="shared" si="3"/>
        <v>5150</v>
      </c>
      <c r="L41" s="36">
        <f t="shared" si="9"/>
        <v>67.1832</v>
      </c>
      <c r="M41" s="37">
        <f t="shared" si="4"/>
        <v>5040</v>
      </c>
      <c r="N41" s="276">
        <v>51.6</v>
      </c>
      <c r="Q41" s="259">
        <f t="shared" si="12"/>
        <v>65.7384</v>
      </c>
      <c r="R41" s="465">
        <f t="shared" si="13"/>
        <v>4932.2</v>
      </c>
    </row>
    <row r="42" spans="1:18" ht="15.75" customHeight="1">
      <c r="A42" s="869"/>
      <c r="B42" s="870"/>
      <c r="C42" s="871"/>
      <c r="D42" s="32">
        <v>8.3</v>
      </c>
      <c r="E42" s="285">
        <v>75</v>
      </c>
      <c r="F42" s="36">
        <f>N42*1.4</f>
        <v>94.822</v>
      </c>
      <c r="G42" s="37">
        <f t="shared" si="1"/>
        <v>7120</v>
      </c>
      <c r="H42" s="36">
        <f t="shared" si="7"/>
        <v>91.97734</v>
      </c>
      <c r="I42" s="37">
        <f t="shared" si="2"/>
        <v>6900</v>
      </c>
      <c r="J42" s="36">
        <f t="shared" si="8"/>
        <v>90.0809</v>
      </c>
      <c r="K42" s="37">
        <f t="shared" si="3"/>
        <v>6760</v>
      </c>
      <c r="L42" s="36">
        <f t="shared" si="9"/>
        <v>88.18446</v>
      </c>
      <c r="M42" s="37">
        <f t="shared" si="4"/>
        <v>6620</v>
      </c>
      <c r="N42" s="276">
        <v>67.73</v>
      </c>
      <c r="Q42" s="238">
        <f t="shared" si="12"/>
        <v>86.28802</v>
      </c>
      <c r="R42" s="463">
        <f t="shared" si="13"/>
        <v>6479.2</v>
      </c>
    </row>
    <row r="43" spans="1:18" ht="15.75" customHeight="1">
      <c r="A43" s="869"/>
      <c r="B43" s="870"/>
      <c r="C43" s="871"/>
      <c r="D43" s="32">
        <v>9.2</v>
      </c>
      <c r="E43" s="262">
        <v>75</v>
      </c>
      <c r="F43" s="36">
        <f>N43*1.4</f>
        <v>108.36</v>
      </c>
      <c r="G43" s="37">
        <f t="shared" si="1"/>
        <v>8130</v>
      </c>
      <c r="H43" s="36">
        <f t="shared" si="7"/>
        <v>105.1092</v>
      </c>
      <c r="I43" s="37">
        <f t="shared" si="2"/>
        <v>7890</v>
      </c>
      <c r="J43" s="36">
        <f t="shared" si="8"/>
        <v>102.942</v>
      </c>
      <c r="K43" s="37">
        <f t="shared" si="3"/>
        <v>7730</v>
      </c>
      <c r="L43" s="36">
        <f t="shared" si="9"/>
        <v>100.7748</v>
      </c>
      <c r="M43" s="37">
        <f t="shared" si="4"/>
        <v>7560</v>
      </c>
      <c r="N43" s="276">
        <v>77.4</v>
      </c>
      <c r="Q43" s="238">
        <f t="shared" si="12"/>
        <v>98.6076</v>
      </c>
      <c r="R43" s="463">
        <f t="shared" si="13"/>
        <v>7398.3</v>
      </c>
    </row>
    <row r="44" spans="1:18" ht="15.75" customHeight="1">
      <c r="A44" s="872"/>
      <c r="B44" s="873"/>
      <c r="C44" s="874"/>
      <c r="D44" s="34">
        <v>12.2</v>
      </c>
      <c r="E44" s="216">
        <v>75</v>
      </c>
      <c r="F44" s="154">
        <f>N44*1.4</f>
        <v>142.28199999999998</v>
      </c>
      <c r="G44" s="155">
        <f t="shared" si="1"/>
        <v>10680</v>
      </c>
      <c r="H44" s="154">
        <f t="shared" si="7"/>
        <v>138.01353999999998</v>
      </c>
      <c r="I44" s="155">
        <f t="shared" si="2"/>
        <v>10360</v>
      </c>
      <c r="J44" s="154">
        <f t="shared" si="8"/>
        <v>135.16789999999997</v>
      </c>
      <c r="K44" s="155">
        <f t="shared" si="3"/>
        <v>10140</v>
      </c>
      <c r="L44" s="154">
        <f t="shared" si="9"/>
        <v>132.32226</v>
      </c>
      <c r="M44" s="155">
        <f t="shared" si="4"/>
        <v>9930</v>
      </c>
      <c r="N44" s="276">
        <v>101.63</v>
      </c>
      <c r="Q44" s="239">
        <f t="shared" si="12"/>
        <v>129.47662</v>
      </c>
      <c r="R44" s="467">
        <f t="shared" si="13"/>
        <v>9718.800000000001</v>
      </c>
    </row>
    <row r="45" spans="1:18" ht="15.75" customHeight="1">
      <c r="A45" s="857" t="s">
        <v>505</v>
      </c>
      <c r="B45" s="858"/>
      <c r="C45" s="859"/>
      <c r="D45" s="33">
        <v>0.8</v>
      </c>
      <c r="E45" s="295">
        <v>200</v>
      </c>
      <c r="F45" s="158">
        <f t="shared" si="0"/>
        <v>8.127</v>
      </c>
      <c r="G45" s="159">
        <f t="shared" si="1"/>
        <v>1630</v>
      </c>
      <c r="H45" s="158">
        <f t="shared" si="7"/>
        <v>7.883190000000001</v>
      </c>
      <c r="I45" s="159">
        <f t="shared" si="2"/>
        <v>1580</v>
      </c>
      <c r="J45" s="158">
        <f t="shared" si="8"/>
        <v>7.72065</v>
      </c>
      <c r="K45" s="159">
        <f t="shared" si="3"/>
        <v>1550</v>
      </c>
      <c r="L45" s="158">
        <f t="shared" si="9"/>
        <v>7.558110000000001</v>
      </c>
      <c r="M45" s="159">
        <f t="shared" si="4"/>
        <v>1520</v>
      </c>
      <c r="N45" s="276">
        <v>6.02</v>
      </c>
      <c r="Q45" s="241">
        <f aca="true" t="shared" si="14" ref="Q45:R49">F45*0.91</f>
        <v>7.395570000000001</v>
      </c>
      <c r="R45" s="468">
        <f t="shared" si="14"/>
        <v>1483.3</v>
      </c>
    </row>
    <row r="46" spans="1:18" ht="15.75" customHeight="1">
      <c r="A46" s="860"/>
      <c r="B46" s="861"/>
      <c r="C46" s="862"/>
      <c r="D46" s="212">
        <v>1.6</v>
      </c>
      <c r="E46" s="219">
        <v>200</v>
      </c>
      <c r="F46" s="36">
        <f t="shared" si="0"/>
        <v>16.254</v>
      </c>
      <c r="G46" s="37">
        <f t="shared" si="1"/>
        <v>3260</v>
      </c>
      <c r="H46" s="36">
        <f t="shared" si="7"/>
        <v>15.766380000000002</v>
      </c>
      <c r="I46" s="37">
        <f t="shared" si="2"/>
        <v>3160</v>
      </c>
      <c r="J46" s="36">
        <f t="shared" si="8"/>
        <v>15.4413</v>
      </c>
      <c r="K46" s="37">
        <f t="shared" si="3"/>
        <v>3090</v>
      </c>
      <c r="L46" s="36">
        <f t="shared" si="9"/>
        <v>15.116220000000002</v>
      </c>
      <c r="M46" s="37">
        <f t="shared" si="4"/>
        <v>3030</v>
      </c>
      <c r="N46" s="276">
        <v>12.04</v>
      </c>
      <c r="Q46" s="238">
        <f t="shared" si="14"/>
        <v>14.791140000000002</v>
      </c>
      <c r="R46" s="463">
        <f t="shared" si="14"/>
        <v>2966.6</v>
      </c>
    </row>
    <row r="47" spans="1:18" ht="15.75" customHeight="1">
      <c r="A47" s="860"/>
      <c r="B47" s="861"/>
      <c r="C47" s="862"/>
      <c r="D47" s="212">
        <v>2.1</v>
      </c>
      <c r="E47" s="189">
        <v>150</v>
      </c>
      <c r="F47" s="213">
        <f t="shared" si="0"/>
        <v>21.343500000000002</v>
      </c>
      <c r="G47" s="214">
        <f t="shared" si="1"/>
        <v>3210</v>
      </c>
      <c r="H47" s="213">
        <f t="shared" si="7"/>
        <v>20.703195</v>
      </c>
      <c r="I47" s="214">
        <f t="shared" si="2"/>
        <v>3110</v>
      </c>
      <c r="J47" s="213">
        <f t="shared" si="8"/>
        <v>20.276325</v>
      </c>
      <c r="K47" s="214">
        <f t="shared" si="3"/>
        <v>3050</v>
      </c>
      <c r="L47" s="213">
        <f t="shared" si="9"/>
        <v>19.849455000000003</v>
      </c>
      <c r="M47" s="214">
        <f t="shared" si="4"/>
        <v>2980</v>
      </c>
      <c r="N47" s="276">
        <v>15.81</v>
      </c>
      <c r="Q47" s="238">
        <f t="shared" si="14"/>
        <v>19.422585</v>
      </c>
      <c r="R47" s="463">
        <f t="shared" si="14"/>
        <v>2921.1</v>
      </c>
    </row>
    <row r="48" spans="1:18" ht="15.75" customHeight="1">
      <c r="A48" s="860"/>
      <c r="B48" s="861"/>
      <c r="C48" s="862"/>
      <c r="D48" s="32">
        <v>3.2</v>
      </c>
      <c r="E48" s="35">
        <v>150</v>
      </c>
      <c r="F48" s="36">
        <f t="shared" si="0"/>
        <v>32.5215</v>
      </c>
      <c r="G48" s="37">
        <f t="shared" si="1"/>
        <v>4880</v>
      </c>
      <c r="H48" s="36">
        <f t="shared" si="7"/>
        <v>31.545855000000003</v>
      </c>
      <c r="I48" s="37">
        <f t="shared" si="2"/>
        <v>4740</v>
      </c>
      <c r="J48" s="36">
        <f t="shared" si="8"/>
        <v>30.895425000000003</v>
      </c>
      <c r="K48" s="37">
        <f t="shared" si="3"/>
        <v>4640</v>
      </c>
      <c r="L48" s="36">
        <f t="shared" si="9"/>
        <v>30.244995000000003</v>
      </c>
      <c r="M48" s="37">
        <f t="shared" si="4"/>
        <v>4540</v>
      </c>
      <c r="N48" s="276">
        <v>24.09</v>
      </c>
      <c r="Q48" s="238">
        <f t="shared" si="14"/>
        <v>29.594565000000003</v>
      </c>
      <c r="R48" s="463">
        <f t="shared" si="14"/>
        <v>4440.8</v>
      </c>
    </row>
    <row r="49" spans="1:18" ht="15.75" customHeight="1">
      <c r="A49" s="860"/>
      <c r="B49" s="861"/>
      <c r="C49" s="862"/>
      <c r="D49" s="32">
        <v>4.2</v>
      </c>
      <c r="E49" s="219">
        <v>150</v>
      </c>
      <c r="F49" s="36">
        <f t="shared" si="0"/>
        <v>49.3695</v>
      </c>
      <c r="G49" s="37">
        <f t="shared" si="1"/>
        <v>7410</v>
      </c>
      <c r="H49" s="36">
        <f t="shared" si="7"/>
        <v>47.888415</v>
      </c>
      <c r="I49" s="37">
        <f t="shared" si="2"/>
        <v>7190</v>
      </c>
      <c r="J49" s="36">
        <f t="shared" si="8"/>
        <v>46.901025</v>
      </c>
      <c r="K49" s="37">
        <f t="shared" si="3"/>
        <v>7040</v>
      </c>
      <c r="L49" s="36">
        <f t="shared" si="9"/>
        <v>45.913635000000006</v>
      </c>
      <c r="M49" s="37">
        <f t="shared" si="4"/>
        <v>6890</v>
      </c>
      <c r="N49" s="276">
        <v>36.57</v>
      </c>
      <c r="Q49" s="238">
        <f t="shared" si="14"/>
        <v>44.926245</v>
      </c>
      <c r="R49" s="463">
        <f t="shared" si="14"/>
        <v>6743.1</v>
      </c>
    </row>
    <row r="50" spans="1:18" ht="15.75" customHeight="1">
      <c r="A50" s="860"/>
      <c r="B50" s="861"/>
      <c r="C50" s="862"/>
      <c r="D50" s="212">
        <v>6.3</v>
      </c>
      <c r="E50" s="262">
        <v>75</v>
      </c>
      <c r="F50" s="36">
        <f>N50*1.4</f>
        <v>75.6</v>
      </c>
      <c r="G50" s="214">
        <f t="shared" si="1"/>
        <v>5670</v>
      </c>
      <c r="H50" s="213">
        <f>F50*0.97</f>
        <v>73.332</v>
      </c>
      <c r="I50" s="214">
        <f t="shared" si="2"/>
        <v>5500</v>
      </c>
      <c r="J50" s="213">
        <f>F50*0.95</f>
        <v>71.82</v>
      </c>
      <c r="K50" s="214">
        <f t="shared" si="3"/>
        <v>5390</v>
      </c>
      <c r="L50" s="213">
        <f>F50*0.93</f>
        <v>70.30799999999999</v>
      </c>
      <c r="M50" s="214">
        <f t="shared" si="4"/>
        <v>5280</v>
      </c>
      <c r="N50" s="276">
        <v>54</v>
      </c>
      <c r="Q50" s="238">
        <f aca="true" t="shared" si="15" ref="Q50:R53">F50*0.91</f>
        <v>68.79599999999999</v>
      </c>
      <c r="R50" s="463">
        <f t="shared" si="15"/>
        <v>5159.7</v>
      </c>
    </row>
    <row r="51" spans="1:18" ht="15.75" customHeight="1">
      <c r="A51" s="860"/>
      <c r="B51" s="861"/>
      <c r="C51" s="862"/>
      <c r="D51" s="32">
        <v>8.3</v>
      </c>
      <c r="E51" s="285">
        <v>75</v>
      </c>
      <c r="F51" s="36">
        <f>N51*1.4</f>
        <v>109.19999999999999</v>
      </c>
      <c r="G51" s="214">
        <f>CEILING(F51*E51,10)</f>
        <v>8190</v>
      </c>
      <c r="H51" s="213">
        <f>F51*0.97</f>
        <v>105.92399999999999</v>
      </c>
      <c r="I51" s="214">
        <f>CEILING(H51*E51,10)</f>
        <v>7950</v>
      </c>
      <c r="J51" s="213">
        <f>F51*0.95</f>
        <v>103.73999999999998</v>
      </c>
      <c r="K51" s="214">
        <f>CEILING(J51*E51,10)</f>
        <v>7790</v>
      </c>
      <c r="L51" s="213">
        <f>F51*0.93</f>
        <v>101.556</v>
      </c>
      <c r="M51" s="214">
        <f>CEILING(L51*E51,10)</f>
        <v>7620</v>
      </c>
      <c r="N51" s="276">
        <v>78</v>
      </c>
      <c r="Q51" s="238">
        <f t="shared" si="15"/>
        <v>99.372</v>
      </c>
      <c r="R51" s="463">
        <f t="shared" si="15"/>
        <v>7452.900000000001</v>
      </c>
    </row>
    <row r="52" spans="1:18" ht="15.75" customHeight="1">
      <c r="A52" s="860"/>
      <c r="B52" s="861"/>
      <c r="C52" s="862"/>
      <c r="D52" s="32">
        <v>9.2</v>
      </c>
      <c r="E52" s="262">
        <v>75</v>
      </c>
      <c r="F52" s="36">
        <f>N52*1.4</f>
        <v>113.39999999999999</v>
      </c>
      <c r="G52" s="214">
        <f>CEILING(F52*E52,10)</f>
        <v>8510</v>
      </c>
      <c r="H52" s="213">
        <f>F52*0.97</f>
        <v>109.99799999999999</v>
      </c>
      <c r="I52" s="214">
        <f>CEILING(H52*E52,10)</f>
        <v>8250</v>
      </c>
      <c r="J52" s="213">
        <f>F52*0.95</f>
        <v>107.72999999999999</v>
      </c>
      <c r="K52" s="214">
        <f>CEILING(J52*E52,10)</f>
        <v>8080</v>
      </c>
      <c r="L52" s="213">
        <f>F52*0.93</f>
        <v>105.462</v>
      </c>
      <c r="M52" s="214">
        <f>CEILING(L52*E52,10)</f>
        <v>7910</v>
      </c>
      <c r="N52" s="276">
        <v>81</v>
      </c>
      <c r="Q52" s="238">
        <f t="shared" si="15"/>
        <v>103.194</v>
      </c>
      <c r="R52" s="463">
        <f t="shared" si="15"/>
        <v>7744.1</v>
      </c>
    </row>
    <row r="53" spans="1:18" ht="15.75" customHeight="1" thickBot="1">
      <c r="A53" s="863"/>
      <c r="B53" s="864"/>
      <c r="C53" s="865"/>
      <c r="D53" s="45">
        <v>12.2</v>
      </c>
      <c r="E53" s="296">
        <v>75</v>
      </c>
      <c r="F53" s="395">
        <f>N53*1.4</f>
        <v>163.702</v>
      </c>
      <c r="G53" s="396">
        <f>CEILING(F53*E53,10)</f>
        <v>12280</v>
      </c>
      <c r="H53" s="395">
        <f>F53*0.97</f>
        <v>158.79094</v>
      </c>
      <c r="I53" s="396">
        <f>CEILING(H53*E53,10)</f>
        <v>11910</v>
      </c>
      <c r="J53" s="395">
        <f>F53*0.95</f>
        <v>155.5169</v>
      </c>
      <c r="K53" s="396">
        <f>CEILING(J53*E53,10)</f>
        <v>11670</v>
      </c>
      <c r="L53" s="395">
        <f>F53*0.93</f>
        <v>152.24286</v>
      </c>
      <c r="M53" s="396">
        <f>CEILING(L53*E53,10)</f>
        <v>11420</v>
      </c>
      <c r="N53" s="276">
        <v>116.93</v>
      </c>
      <c r="Q53" s="242">
        <f t="shared" si="15"/>
        <v>148.96882</v>
      </c>
      <c r="R53" s="469">
        <f t="shared" si="15"/>
        <v>11174.800000000001</v>
      </c>
    </row>
    <row r="54" spans="1:18" ht="39.75" customHeight="1" thickTop="1">
      <c r="A54" s="659" t="s">
        <v>657</v>
      </c>
      <c r="B54" s="659"/>
      <c r="C54" s="659"/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Q54" s="225"/>
      <c r="R54" s="225"/>
    </row>
    <row r="55" spans="1:18" s="502" customFormat="1" ht="15.75" customHeight="1">
      <c r="A55" s="670" t="s">
        <v>381</v>
      </c>
      <c r="B55" s="671"/>
      <c r="C55" s="671"/>
      <c r="D55" s="186" t="s">
        <v>2</v>
      </c>
      <c r="E55" s="186" t="s">
        <v>389</v>
      </c>
      <c r="F55" s="673" t="s">
        <v>48</v>
      </c>
      <c r="G55" s="674"/>
      <c r="H55" s="673" t="s">
        <v>45</v>
      </c>
      <c r="I55" s="674"/>
      <c r="J55" s="673" t="s">
        <v>46</v>
      </c>
      <c r="K55" s="674"/>
      <c r="L55" s="673" t="s">
        <v>47</v>
      </c>
      <c r="M55" s="674"/>
      <c r="N55" s="275"/>
      <c r="O55" s="333"/>
      <c r="P55" s="275"/>
      <c r="Q55" s="676" t="s">
        <v>428</v>
      </c>
      <c r="R55" s="677"/>
    </row>
    <row r="56" spans="1:18" ht="15.75" customHeight="1" thickBot="1">
      <c r="A56" s="663"/>
      <c r="B56" s="664"/>
      <c r="C56" s="664"/>
      <c r="D56" s="184" t="s">
        <v>14</v>
      </c>
      <c r="E56" s="184" t="s">
        <v>24</v>
      </c>
      <c r="F56" s="182" t="s">
        <v>357</v>
      </c>
      <c r="G56" s="183" t="s">
        <v>360</v>
      </c>
      <c r="H56" s="182" t="s">
        <v>357</v>
      </c>
      <c r="I56" s="183" t="s">
        <v>360</v>
      </c>
      <c r="J56" s="182" t="s">
        <v>357</v>
      </c>
      <c r="K56" s="183" t="s">
        <v>360</v>
      </c>
      <c r="L56" s="182" t="s">
        <v>357</v>
      </c>
      <c r="M56" s="183" t="s">
        <v>360</v>
      </c>
      <c r="N56" s="44" t="s">
        <v>16</v>
      </c>
      <c r="O56" s="334" t="s">
        <v>87</v>
      </c>
      <c r="Q56" s="229" t="s">
        <v>357</v>
      </c>
      <c r="R56" s="461" t="s">
        <v>360</v>
      </c>
    </row>
    <row r="57" spans="1:18" s="503" customFormat="1" ht="15.75" thickTop="1">
      <c r="A57" s="875" t="s">
        <v>384</v>
      </c>
      <c r="B57" s="876"/>
      <c r="C57" s="877"/>
      <c r="D57" s="265">
        <v>3.2</v>
      </c>
      <c r="E57" s="308">
        <v>10</v>
      </c>
      <c r="F57" s="164">
        <f aca="true" t="shared" si="16" ref="F57:F64">G57/O57</f>
        <v>12</v>
      </c>
      <c r="G57" s="165">
        <f>CEILING(N57*1.6,10)</f>
        <v>120</v>
      </c>
      <c r="H57" s="207">
        <f aca="true" t="shared" si="17" ref="H57:H64">I57/O57</f>
        <v>11.5</v>
      </c>
      <c r="I57" s="165">
        <f>CEILING(N57*1.5,5)</f>
        <v>115</v>
      </c>
      <c r="J57" s="207">
        <f aca="true" t="shared" si="18" ref="J57:J64">K57/O57</f>
        <v>10.5</v>
      </c>
      <c r="K57" s="165">
        <f>CEILING(N57*1.4,5)</f>
        <v>105</v>
      </c>
      <c r="L57" s="207">
        <f aca="true" t="shared" si="19" ref="L57:L64">M57/O57</f>
        <v>9.6</v>
      </c>
      <c r="M57" s="165">
        <f>CEILING(N57*1.3,1)</f>
        <v>96</v>
      </c>
      <c r="N57" s="274">
        <v>73.5</v>
      </c>
      <c r="O57" s="335">
        <v>10</v>
      </c>
      <c r="P57" s="274"/>
      <c r="Q57" s="245">
        <f>R57/O57</f>
        <v>8.452499999999999</v>
      </c>
      <c r="R57" s="470">
        <f aca="true" t="shared" si="20" ref="R57:R64">N57*1.15</f>
        <v>84.52499999999999</v>
      </c>
    </row>
    <row r="58" spans="1:18" s="503" customFormat="1" ht="15" hidden="1">
      <c r="A58" s="848" t="s">
        <v>384</v>
      </c>
      <c r="B58" s="849"/>
      <c r="C58" s="850"/>
      <c r="D58" s="319">
        <v>4.2</v>
      </c>
      <c r="E58" s="320">
        <v>13</v>
      </c>
      <c r="F58" s="321">
        <f t="shared" si="16"/>
        <v>12.307692307692308</v>
      </c>
      <c r="G58" s="322">
        <f>CEILING(N58*1.5,10)</f>
        <v>160</v>
      </c>
      <c r="H58" s="323">
        <f t="shared" si="17"/>
        <v>11.538461538461538</v>
      </c>
      <c r="I58" s="322">
        <f>CEILING(N58*1.4,5)</f>
        <v>150</v>
      </c>
      <c r="J58" s="323">
        <f t="shared" si="18"/>
        <v>10.76923076923077</v>
      </c>
      <c r="K58" s="322">
        <f>CEILING(N58*1.3,5)</f>
        <v>140</v>
      </c>
      <c r="L58" s="323">
        <f t="shared" si="19"/>
        <v>9.692307692307692</v>
      </c>
      <c r="M58" s="322">
        <f>CEILING(N58*1.2,1)</f>
        <v>126</v>
      </c>
      <c r="N58" s="324">
        <v>105</v>
      </c>
      <c r="O58" s="336">
        <v>13</v>
      </c>
      <c r="P58" s="324"/>
      <c r="Q58" s="234">
        <f aca="true" t="shared" si="21" ref="Q58:Q64">R58/O58</f>
        <v>9.288461538461537</v>
      </c>
      <c r="R58" s="471">
        <f t="shared" si="20"/>
        <v>120.74999999999999</v>
      </c>
    </row>
    <row r="59" spans="1:18" s="503" customFormat="1" ht="15">
      <c r="A59" s="884" t="s">
        <v>385</v>
      </c>
      <c r="B59" s="885"/>
      <c r="C59" s="886"/>
      <c r="D59" s="265">
        <v>3.2</v>
      </c>
      <c r="E59" s="308">
        <v>10</v>
      </c>
      <c r="F59" s="164">
        <f t="shared" si="16"/>
        <v>19</v>
      </c>
      <c r="G59" s="165">
        <f>CEILING(N59*1.6,10)</f>
        <v>190</v>
      </c>
      <c r="H59" s="207">
        <f t="shared" si="17"/>
        <v>18</v>
      </c>
      <c r="I59" s="165">
        <f>CEILING(N59*1.5,5)</f>
        <v>180</v>
      </c>
      <c r="J59" s="207">
        <f t="shared" si="18"/>
        <v>17</v>
      </c>
      <c r="K59" s="165">
        <f>CEILING(N59*1.4,5)</f>
        <v>170</v>
      </c>
      <c r="L59" s="207">
        <f t="shared" si="19"/>
        <v>15.4</v>
      </c>
      <c r="M59" s="165">
        <f>CEILING(N59*1.3,1)</f>
        <v>154</v>
      </c>
      <c r="N59" s="274">
        <v>118.3</v>
      </c>
      <c r="O59" s="335">
        <v>10</v>
      </c>
      <c r="P59" s="274"/>
      <c r="Q59" s="235">
        <f t="shared" si="21"/>
        <v>13.604499999999998</v>
      </c>
      <c r="R59" s="472">
        <f t="shared" si="20"/>
        <v>136.045</v>
      </c>
    </row>
    <row r="60" spans="1:18" s="503" customFormat="1" ht="15" hidden="1">
      <c r="A60" s="848" t="s">
        <v>385</v>
      </c>
      <c r="B60" s="849"/>
      <c r="C60" s="850"/>
      <c r="D60" s="266">
        <v>4.2</v>
      </c>
      <c r="E60" s="309">
        <v>10</v>
      </c>
      <c r="F60" s="321">
        <f t="shared" si="16"/>
        <v>20</v>
      </c>
      <c r="G60" s="322">
        <f>CEILING(N60*1.5,10)</f>
        <v>200</v>
      </c>
      <c r="H60" s="323">
        <f t="shared" si="17"/>
        <v>19</v>
      </c>
      <c r="I60" s="322">
        <f>CEILING(N60*1.4,5)</f>
        <v>190</v>
      </c>
      <c r="J60" s="323">
        <f t="shared" si="18"/>
        <v>17.5</v>
      </c>
      <c r="K60" s="322">
        <f>CEILING(N60*1.3,5)</f>
        <v>175</v>
      </c>
      <c r="L60" s="323">
        <f t="shared" si="19"/>
        <v>16</v>
      </c>
      <c r="M60" s="322">
        <f>CEILING(N60*1.2,1)</f>
        <v>160</v>
      </c>
      <c r="N60" s="324">
        <v>133</v>
      </c>
      <c r="O60" s="336">
        <v>10</v>
      </c>
      <c r="P60" s="324"/>
      <c r="Q60" s="234">
        <f t="shared" si="21"/>
        <v>15.294999999999998</v>
      </c>
      <c r="R60" s="471">
        <f t="shared" si="20"/>
        <v>152.95</v>
      </c>
    </row>
    <row r="61" spans="1:18" s="503" customFormat="1" ht="15">
      <c r="A61" s="884" t="s">
        <v>386</v>
      </c>
      <c r="B61" s="885"/>
      <c r="C61" s="886"/>
      <c r="D61" s="265">
        <v>3.2</v>
      </c>
      <c r="E61" s="308">
        <v>10</v>
      </c>
      <c r="F61" s="164">
        <f t="shared" si="16"/>
        <v>27</v>
      </c>
      <c r="G61" s="165">
        <f>CEILING(N61*1.6,10)</f>
        <v>270</v>
      </c>
      <c r="H61" s="207">
        <f>I61/O61</f>
        <v>24.5</v>
      </c>
      <c r="I61" s="165">
        <f>CEILING(N61*1.5,5)</f>
        <v>245</v>
      </c>
      <c r="J61" s="207">
        <f t="shared" si="18"/>
        <v>23</v>
      </c>
      <c r="K61" s="165">
        <f>CEILING(N61*1.4,5)</f>
        <v>230</v>
      </c>
      <c r="L61" s="207">
        <f t="shared" si="19"/>
        <v>21.3</v>
      </c>
      <c r="M61" s="165">
        <f>CEILING(N61*1.3,1)</f>
        <v>213</v>
      </c>
      <c r="N61" s="274">
        <v>163.1</v>
      </c>
      <c r="O61" s="335">
        <v>10</v>
      </c>
      <c r="P61" s="274"/>
      <c r="Q61" s="235">
        <f t="shared" si="21"/>
        <v>18.756499999999996</v>
      </c>
      <c r="R61" s="472">
        <f t="shared" si="20"/>
        <v>187.56499999999997</v>
      </c>
    </row>
    <row r="62" spans="1:18" s="503" customFormat="1" ht="15" hidden="1">
      <c r="A62" s="848" t="s">
        <v>386</v>
      </c>
      <c r="B62" s="849"/>
      <c r="C62" s="850"/>
      <c r="D62" s="266">
        <v>4.2</v>
      </c>
      <c r="E62" s="309">
        <v>11</v>
      </c>
      <c r="F62" s="321">
        <f t="shared" si="16"/>
        <v>29.09090909090909</v>
      </c>
      <c r="G62" s="322">
        <f>CEILING(N62*1.5,10)</f>
        <v>320</v>
      </c>
      <c r="H62" s="323">
        <f t="shared" si="17"/>
        <v>26.818181818181817</v>
      </c>
      <c r="I62" s="322">
        <f>CEILING(N62*1.4,5)</f>
        <v>295</v>
      </c>
      <c r="J62" s="323">
        <f t="shared" si="18"/>
        <v>25</v>
      </c>
      <c r="K62" s="322">
        <f>CEILING(N62*1.3,5)</f>
        <v>275</v>
      </c>
      <c r="L62" s="323">
        <f t="shared" si="19"/>
        <v>22.90909090909091</v>
      </c>
      <c r="M62" s="322">
        <f>CEILING(N62*1.2,1)</f>
        <v>252</v>
      </c>
      <c r="N62" s="324">
        <v>210</v>
      </c>
      <c r="O62" s="336">
        <v>11</v>
      </c>
      <c r="P62" s="324"/>
      <c r="Q62" s="234">
        <f t="shared" si="21"/>
        <v>21.954545454545453</v>
      </c>
      <c r="R62" s="471">
        <f t="shared" si="20"/>
        <v>241.49999999999997</v>
      </c>
    </row>
    <row r="63" spans="1:18" s="503" customFormat="1" ht="15">
      <c r="A63" s="890" t="s">
        <v>387</v>
      </c>
      <c r="B63" s="891"/>
      <c r="C63" s="892"/>
      <c r="D63" s="319">
        <v>3.2</v>
      </c>
      <c r="E63" s="320">
        <v>10</v>
      </c>
      <c r="F63" s="321">
        <f t="shared" si="16"/>
        <v>38</v>
      </c>
      <c r="G63" s="322">
        <f>CEILING(N63*1.6,10)</f>
        <v>380</v>
      </c>
      <c r="H63" s="323">
        <f t="shared" si="17"/>
        <v>35</v>
      </c>
      <c r="I63" s="322">
        <f>CEILING(N63*1.5,5)</f>
        <v>350</v>
      </c>
      <c r="J63" s="323">
        <f t="shared" si="18"/>
        <v>32.5</v>
      </c>
      <c r="K63" s="322">
        <f>CEILING(N63*1.4,5)</f>
        <v>325</v>
      </c>
      <c r="L63" s="323">
        <f t="shared" si="19"/>
        <v>30.2</v>
      </c>
      <c r="M63" s="322">
        <f>CEILING(N63*1.3,1)</f>
        <v>302</v>
      </c>
      <c r="N63" s="274">
        <v>231.7</v>
      </c>
      <c r="O63" s="335">
        <v>10</v>
      </c>
      <c r="P63" s="274"/>
      <c r="Q63" s="234">
        <f t="shared" si="21"/>
        <v>26.6455</v>
      </c>
      <c r="R63" s="471">
        <f t="shared" si="20"/>
        <v>266.455</v>
      </c>
    </row>
    <row r="64" spans="1:18" s="503" customFormat="1" ht="15.75" thickBot="1">
      <c r="A64" s="887" t="s">
        <v>388</v>
      </c>
      <c r="B64" s="888"/>
      <c r="C64" s="889"/>
      <c r="D64" s="267">
        <v>3.2</v>
      </c>
      <c r="E64" s="310">
        <v>10</v>
      </c>
      <c r="F64" s="292">
        <f t="shared" si="16"/>
        <v>39</v>
      </c>
      <c r="G64" s="293">
        <f>CEILING(N64*1.6,10)</f>
        <v>390</v>
      </c>
      <c r="H64" s="294">
        <f t="shared" si="17"/>
        <v>36.5</v>
      </c>
      <c r="I64" s="293">
        <f>CEILING(N64*1.5,5)</f>
        <v>365</v>
      </c>
      <c r="J64" s="294">
        <f t="shared" si="18"/>
        <v>34.5</v>
      </c>
      <c r="K64" s="293">
        <f>CEILING(N64*1.4,5)</f>
        <v>345</v>
      </c>
      <c r="L64" s="294">
        <f t="shared" si="19"/>
        <v>31.6</v>
      </c>
      <c r="M64" s="293">
        <f>CEILING(N64*1.3,1)</f>
        <v>316</v>
      </c>
      <c r="N64" s="274">
        <v>242.9</v>
      </c>
      <c r="O64" s="335">
        <v>10</v>
      </c>
      <c r="P64" s="274"/>
      <c r="Q64" s="315">
        <f t="shared" si="21"/>
        <v>27.9335</v>
      </c>
      <c r="R64" s="473">
        <f t="shared" si="20"/>
        <v>279.335</v>
      </c>
    </row>
    <row r="65" spans="1:18" ht="39.75" customHeight="1" thickTop="1">
      <c r="A65" s="659" t="s">
        <v>658</v>
      </c>
      <c r="B65" s="659"/>
      <c r="C65" s="659"/>
      <c r="D65" s="659"/>
      <c r="E65" s="659"/>
      <c r="F65" s="659"/>
      <c r="G65" s="659"/>
      <c r="H65" s="659"/>
      <c r="I65" s="659"/>
      <c r="J65" s="659"/>
      <c r="K65" s="659"/>
      <c r="L65" s="659"/>
      <c r="M65" s="659"/>
      <c r="Q65" s="225"/>
      <c r="R65" s="225"/>
    </row>
    <row r="66" spans="1:18" s="502" customFormat="1" ht="15.75" customHeight="1">
      <c r="A66" s="660" t="s">
        <v>96</v>
      </c>
      <c r="B66" s="661"/>
      <c r="C66" s="661"/>
      <c r="D66" s="661"/>
      <c r="E66" s="662"/>
      <c r="F66" s="666" t="s">
        <v>48</v>
      </c>
      <c r="G66" s="667"/>
      <c r="H66" s="666" t="s">
        <v>45</v>
      </c>
      <c r="I66" s="667"/>
      <c r="J66" s="666" t="s">
        <v>46</v>
      </c>
      <c r="K66" s="667"/>
      <c r="L66" s="666" t="s">
        <v>47</v>
      </c>
      <c r="M66" s="667"/>
      <c r="N66" s="275"/>
      <c r="O66" s="333"/>
      <c r="P66" s="275"/>
      <c r="Q66" s="676"/>
      <c r="R66" s="677"/>
    </row>
    <row r="67" spans="1:18" ht="15.75" customHeight="1" thickBot="1">
      <c r="A67" s="663"/>
      <c r="B67" s="664"/>
      <c r="C67" s="664"/>
      <c r="D67" s="664"/>
      <c r="E67" s="665"/>
      <c r="F67" s="182" t="s">
        <v>37</v>
      </c>
      <c r="G67" s="183" t="s">
        <v>26</v>
      </c>
      <c r="H67" s="182" t="s">
        <v>37</v>
      </c>
      <c r="I67" s="183" t="s">
        <v>26</v>
      </c>
      <c r="J67" s="182" t="s">
        <v>37</v>
      </c>
      <c r="K67" s="183" t="s">
        <v>26</v>
      </c>
      <c r="L67" s="182" t="s">
        <v>37</v>
      </c>
      <c r="M67" s="183" t="s">
        <v>26</v>
      </c>
      <c r="N67" s="44" t="s">
        <v>361</v>
      </c>
      <c r="O67" s="338"/>
      <c r="Q67" s="229"/>
      <c r="R67" s="461"/>
    </row>
    <row r="68" spans="1:18" ht="15" customHeight="1" hidden="1" thickTop="1">
      <c r="A68" s="808" t="s">
        <v>365</v>
      </c>
      <c r="B68" s="809"/>
      <c r="C68" s="809"/>
      <c r="D68" s="809"/>
      <c r="E68" s="810"/>
      <c r="F68" s="208">
        <f>G68/O68</f>
        <v>11.5</v>
      </c>
      <c r="G68" s="53">
        <f>CEILING(N68*1.5,10)</f>
        <v>920</v>
      </c>
      <c r="H68" s="209">
        <f>I68/O68</f>
        <v>10.6875</v>
      </c>
      <c r="I68" s="53">
        <f>CEILING(N68*1.4,5)</f>
        <v>855</v>
      </c>
      <c r="J68" s="209">
        <f>K68/O68</f>
        <v>9.8875</v>
      </c>
      <c r="K68" s="53">
        <f>CEILING(N68*1.3,1)</f>
        <v>791</v>
      </c>
      <c r="L68" s="210">
        <f>M68/O68</f>
        <v>9.125</v>
      </c>
      <c r="M68" s="53">
        <f>CEILING(N68*1.2,0.5)</f>
        <v>730</v>
      </c>
      <c r="N68" s="279">
        <v>608</v>
      </c>
      <c r="O68" s="339">
        <v>80</v>
      </c>
      <c r="Q68" s="248"/>
      <c r="R68" s="474"/>
    </row>
    <row r="69" spans="1:18" ht="15" customHeight="1" thickTop="1">
      <c r="A69" s="709" t="s">
        <v>732</v>
      </c>
      <c r="B69" s="710"/>
      <c r="C69" s="710"/>
      <c r="D69" s="710"/>
      <c r="E69" s="711"/>
      <c r="F69" s="48">
        <f>G69/O69</f>
        <v>25.875</v>
      </c>
      <c r="G69" s="53">
        <f>CEILING(N69*1.5,10)</f>
        <v>2070</v>
      </c>
      <c r="H69" s="52">
        <f>I69/O69</f>
        <v>24.1875</v>
      </c>
      <c r="I69" s="53">
        <f>CEILING(N69*1.4,5)</f>
        <v>1935</v>
      </c>
      <c r="J69" s="52">
        <f>K69/O69</f>
        <v>22.425</v>
      </c>
      <c r="K69" s="53">
        <f>CEILING(N69*1.3,1)</f>
        <v>1794</v>
      </c>
      <c r="L69" s="52">
        <f>M69/O69</f>
        <v>20.7</v>
      </c>
      <c r="M69" s="53">
        <f>CEILING(N69*1.2,1)</f>
        <v>1656</v>
      </c>
      <c r="N69" s="279">
        <v>1380</v>
      </c>
      <c r="O69" s="339">
        <v>80</v>
      </c>
      <c r="P69" s="273">
        <v>17.25</v>
      </c>
      <c r="Q69" s="246"/>
      <c r="R69" s="474"/>
    </row>
    <row r="70" spans="1:18" ht="15" customHeight="1" thickBot="1">
      <c r="A70" s="811" t="s">
        <v>733</v>
      </c>
      <c r="B70" s="812"/>
      <c r="C70" s="812"/>
      <c r="D70" s="812"/>
      <c r="E70" s="813"/>
      <c r="F70" s="50">
        <f>G70/O70</f>
        <v>36</v>
      </c>
      <c r="G70" s="51">
        <f>CEILING(N70*1.5,10)</f>
        <v>2880</v>
      </c>
      <c r="H70" s="50">
        <f>I70/O70</f>
        <v>33.625</v>
      </c>
      <c r="I70" s="51">
        <f>CEILING(N70*1.4,5)</f>
        <v>2690</v>
      </c>
      <c r="J70" s="50">
        <f>K70/O70</f>
        <v>31.2</v>
      </c>
      <c r="K70" s="51">
        <f>CEILING(N70*1.3,1)</f>
        <v>2496</v>
      </c>
      <c r="L70" s="50">
        <f>M70/O70</f>
        <v>28.8</v>
      </c>
      <c r="M70" s="51">
        <f>CEILING(N70*1.2,1)</f>
        <v>2304</v>
      </c>
      <c r="N70" s="279">
        <v>1920</v>
      </c>
      <c r="O70" s="339">
        <v>80</v>
      </c>
      <c r="P70" s="273">
        <v>24</v>
      </c>
      <c r="Q70" s="236"/>
      <c r="R70" s="475"/>
    </row>
    <row r="71" spans="1:18" ht="39.75" customHeight="1" thickTop="1">
      <c r="A71" s="659" t="s">
        <v>559</v>
      </c>
      <c r="B71" s="659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59"/>
      <c r="N71" s="411"/>
      <c r="O71" s="416"/>
      <c r="Q71" s="225"/>
      <c r="R71" s="225"/>
    </row>
    <row r="72" spans="1:18" s="502" customFormat="1" ht="15.75" customHeight="1">
      <c r="A72" s="660" t="s">
        <v>96</v>
      </c>
      <c r="B72" s="661"/>
      <c r="C72" s="661"/>
      <c r="D72" s="661"/>
      <c r="E72" s="662"/>
      <c r="F72" s="666" t="s">
        <v>48</v>
      </c>
      <c r="G72" s="667"/>
      <c r="H72" s="666" t="s">
        <v>45</v>
      </c>
      <c r="I72" s="667"/>
      <c r="J72" s="666" t="s">
        <v>46</v>
      </c>
      <c r="K72" s="667"/>
      <c r="L72" s="666" t="s">
        <v>47</v>
      </c>
      <c r="M72" s="667"/>
      <c r="N72" s="275"/>
      <c r="O72" s="333"/>
      <c r="P72" s="275"/>
      <c r="Q72" s="676"/>
      <c r="R72" s="677"/>
    </row>
    <row r="73" spans="1:18" ht="15.75" customHeight="1" thickBot="1">
      <c r="A73" s="663"/>
      <c r="B73" s="664"/>
      <c r="C73" s="664"/>
      <c r="D73" s="664"/>
      <c r="E73" s="665"/>
      <c r="F73" s="182" t="s">
        <v>27</v>
      </c>
      <c r="G73" s="183" t="s">
        <v>564</v>
      </c>
      <c r="H73" s="182" t="s">
        <v>27</v>
      </c>
      <c r="I73" s="183" t="s">
        <v>564</v>
      </c>
      <c r="J73" s="182" t="s">
        <v>27</v>
      </c>
      <c r="K73" s="183" t="s">
        <v>564</v>
      </c>
      <c r="L73" s="182" t="s">
        <v>27</v>
      </c>
      <c r="M73" s="183" t="s">
        <v>564</v>
      </c>
      <c r="N73" s="44" t="s">
        <v>361</v>
      </c>
      <c r="O73" s="417" t="s">
        <v>560</v>
      </c>
      <c r="Q73" s="229"/>
      <c r="R73" s="461"/>
    </row>
    <row r="74" spans="1:18" ht="15" customHeight="1" hidden="1" thickTop="1">
      <c r="A74" s="893" t="s">
        <v>561</v>
      </c>
      <c r="B74" s="894"/>
      <c r="C74" s="894"/>
      <c r="D74" s="894"/>
      <c r="E74" s="895"/>
      <c r="F74" s="64">
        <f>G74/O74</f>
        <v>100</v>
      </c>
      <c r="G74" s="63">
        <v>300</v>
      </c>
      <c r="H74" s="64">
        <f>I74/O74</f>
        <v>90</v>
      </c>
      <c r="I74" s="63">
        <v>270</v>
      </c>
      <c r="J74" s="64">
        <f>K74/O74</f>
        <v>80</v>
      </c>
      <c r="K74" s="63">
        <v>240</v>
      </c>
      <c r="L74" s="64">
        <f>M74/O74</f>
        <v>75</v>
      </c>
      <c r="M74" s="63">
        <v>225</v>
      </c>
      <c r="N74" s="279">
        <v>141</v>
      </c>
      <c r="O74" s="339">
        <v>3</v>
      </c>
      <c r="Q74" s="246">
        <f>R74/O74</f>
        <v>70</v>
      </c>
      <c r="R74" s="474">
        <v>210</v>
      </c>
    </row>
    <row r="75" spans="1:18" ht="15" customHeight="1" hidden="1">
      <c r="A75" s="733" t="s">
        <v>562</v>
      </c>
      <c r="B75" s="734"/>
      <c r="C75" s="734"/>
      <c r="D75" s="734"/>
      <c r="E75" s="735"/>
      <c r="F75" s="52">
        <f>G75/O75</f>
        <v>100</v>
      </c>
      <c r="G75" s="53">
        <v>300</v>
      </c>
      <c r="H75" s="52">
        <f>I75/O75</f>
        <v>90</v>
      </c>
      <c r="I75" s="53">
        <v>270</v>
      </c>
      <c r="J75" s="52">
        <f>K75/O75</f>
        <v>80</v>
      </c>
      <c r="K75" s="53">
        <v>240</v>
      </c>
      <c r="L75" s="52">
        <f>M75/O75</f>
        <v>75</v>
      </c>
      <c r="M75" s="53">
        <v>225</v>
      </c>
      <c r="N75" s="279">
        <v>168</v>
      </c>
      <c r="O75" s="339">
        <v>3</v>
      </c>
      <c r="Q75" s="246">
        <f>R75/O75</f>
        <v>70</v>
      </c>
      <c r="R75" s="474">
        <v>210</v>
      </c>
    </row>
    <row r="76" spans="1:18" ht="15" customHeight="1" hidden="1" thickBot="1">
      <c r="A76" s="811" t="s">
        <v>563</v>
      </c>
      <c r="B76" s="812"/>
      <c r="C76" s="812"/>
      <c r="D76" s="812"/>
      <c r="E76" s="813"/>
      <c r="F76" s="50">
        <f>G76/O76</f>
        <v>300</v>
      </c>
      <c r="G76" s="51">
        <v>900</v>
      </c>
      <c r="H76" s="50">
        <f>I76/O76</f>
        <v>270</v>
      </c>
      <c r="I76" s="51">
        <v>810</v>
      </c>
      <c r="J76" s="50">
        <f>K76/O76</f>
        <v>245</v>
      </c>
      <c r="K76" s="51">
        <v>735</v>
      </c>
      <c r="L76" s="50">
        <f>M76/O76</f>
        <v>220</v>
      </c>
      <c r="M76" s="51">
        <v>660</v>
      </c>
      <c r="N76" s="279">
        <v>483</v>
      </c>
      <c r="O76" s="339">
        <v>3</v>
      </c>
      <c r="Q76" s="246">
        <f>R76/O76</f>
        <v>200</v>
      </c>
      <c r="R76" s="475">
        <v>600</v>
      </c>
    </row>
    <row r="77" spans="1:18" s="502" customFormat="1" ht="15.75" customHeight="1" hidden="1" thickTop="1">
      <c r="A77" s="670" t="s">
        <v>271</v>
      </c>
      <c r="B77" s="671"/>
      <c r="C77" s="672"/>
      <c r="D77" s="186" t="s">
        <v>2</v>
      </c>
      <c r="E77" s="186" t="s">
        <v>25</v>
      </c>
      <c r="F77" s="701" t="s">
        <v>48</v>
      </c>
      <c r="G77" s="702"/>
      <c r="H77" s="701" t="s">
        <v>45</v>
      </c>
      <c r="I77" s="702"/>
      <c r="J77" s="701" t="s">
        <v>46</v>
      </c>
      <c r="K77" s="702"/>
      <c r="L77" s="701" t="s">
        <v>47</v>
      </c>
      <c r="M77" s="702"/>
      <c r="N77" s="275"/>
      <c r="O77" s="333"/>
      <c r="P77" s="275"/>
      <c r="Q77" s="676" t="s">
        <v>427</v>
      </c>
      <c r="R77" s="677"/>
    </row>
    <row r="78" spans="1:18" ht="15.75" customHeight="1" hidden="1" thickBot="1">
      <c r="A78" s="660"/>
      <c r="B78" s="661"/>
      <c r="C78" s="662"/>
      <c r="D78" s="301" t="s">
        <v>14</v>
      </c>
      <c r="E78" s="301" t="s">
        <v>24</v>
      </c>
      <c r="F78" s="302" t="s">
        <v>357</v>
      </c>
      <c r="G78" s="303" t="s">
        <v>7</v>
      </c>
      <c r="H78" s="302" t="s">
        <v>357</v>
      </c>
      <c r="I78" s="303" t="s">
        <v>7</v>
      </c>
      <c r="J78" s="302" t="s">
        <v>357</v>
      </c>
      <c r="K78" s="303" t="s">
        <v>7</v>
      </c>
      <c r="L78" s="302" t="s">
        <v>357</v>
      </c>
      <c r="M78" s="303" t="s">
        <v>7</v>
      </c>
      <c r="N78" s="44" t="s">
        <v>35</v>
      </c>
      <c r="O78" s="334" t="s">
        <v>87</v>
      </c>
      <c r="Q78" s="229" t="s">
        <v>357</v>
      </c>
      <c r="R78" s="461" t="s">
        <v>7</v>
      </c>
    </row>
    <row r="79" spans="1:18" ht="15.75" customHeight="1" hidden="1" thickTop="1">
      <c r="A79" s="896" t="s">
        <v>437</v>
      </c>
      <c r="B79" s="897"/>
      <c r="C79" s="898"/>
      <c r="D79" s="54">
        <v>3.2</v>
      </c>
      <c r="E79" s="304">
        <v>400</v>
      </c>
      <c r="F79" s="156">
        <f>N79</f>
        <v>6.17</v>
      </c>
      <c r="G79" s="157">
        <f>CEILING(F79*O79,10)</f>
        <v>2470</v>
      </c>
      <c r="H79" s="156">
        <f>N79*0.97</f>
        <v>5.9849</v>
      </c>
      <c r="I79" s="157">
        <f>CEILING(H79*O79,10)</f>
        <v>2400</v>
      </c>
      <c r="J79" s="156">
        <f>N79*0.95</f>
        <v>5.8614999999999995</v>
      </c>
      <c r="K79" s="157">
        <f>CEILING(J79*O79,10)</f>
        <v>2350</v>
      </c>
      <c r="L79" s="156">
        <f>N79*0.93</f>
        <v>5.7381</v>
      </c>
      <c r="M79" s="157">
        <f>CEILING(L79*O79,10)</f>
        <v>2300</v>
      </c>
      <c r="N79" s="276">
        <v>6.17</v>
      </c>
      <c r="O79" s="332">
        <v>400</v>
      </c>
      <c r="Q79" s="311">
        <f>F79*0.87</f>
        <v>5.3679</v>
      </c>
      <c r="R79" s="476">
        <f>E79*Q79</f>
        <v>2147.16</v>
      </c>
    </row>
    <row r="80" spans="1:18" ht="15.75" customHeight="1" hidden="1">
      <c r="A80" s="832" t="s">
        <v>438</v>
      </c>
      <c r="B80" s="833"/>
      <c r="C80" s="834"/>
      <c r="D80" s="32">
        <v>3.2</v>
      </c>
      <c r="E80" s="305">
        <v>300</v>
      </c>
      <c r="F80" s="36">
        <f>N80</f>
        <v>9.99</v>
      </c>
      <c r="G80" s="37">
        <f>CEILING(F80*O80,10)</f>
        <v>3000</v>
      </c>
      <c r="H80" s="36">
        <f>N80*0.97</f>
        <v>9.6903</v>
      </c>
      <c r="I80" s="37">
        <f>CEILING(H80*O80,10)</f>
        <v>2910</v>
      </c>
      <c r="J80" s="36">
        <f>N80*0.95</f>
        <v>9.490499999999999</v>
      </c>
      <c r="K80" s="37">
        <f>CEILING(J80*O80,10)</f>
        <v>2850</v>
      </c>
      <c r="L80" s="36">
        <f>N80*0.93</f>
        <v>9.290700000000001</v>
      </c>
      <c r="M80" s="37">
        <f>CEILING(L80*O80,10)</f>
        <v>2790</v>
      </c>
      <c r="N80" s="276">
        <v>9.99</v>
      </c>
      <c r="O80" s="332">
        <v>300</v>
      </c>
      <c r="Q80" s="312">
        <f>F80*0.87</f>
        <v>8.6913</v>
      </c>
      <c r="R80" s="477">
        <f>E80*Q80</f>
        <v>2607.39</v>
      </c>
    </row>
    <row r="81" spans="1:18" ht="15.75" customHeight="1" hidden="1">
      <c r="A81" s="832" t="s">
        <v>439</v>
      </c>
      <c r="B81" s="833"/>
      <c r="C81" s="834"/>
      <c r="D81" s="32">
        <v>3.2</v>
      </c>
      <c r="E81" s="305">
        <v>200</v>
      </c>
      <c r="F81" s="36">
        <f>N81</f>
        <v>13.82</v>
      </c>
      <c r="G81" s="37">
        <f>CEILING(F81*O81,10)</f>
        <v>2770</v>
      </c>
      <c r="H81" s="36">
        <f>N81*0.97</f>
        <v>13.4054</v>
      </c>
      <c r="I81" s="37">
        <f>CEILING(H81*O81,10)</f>
        <v>2690</v>
      </c>
      <c r="J81" s="36">
        <f>N81*0.95</f>
        <v>13.129</v>
      </c>
      <c r="K81" s="37">
        <f>CEILING(J81*O81,10)</f>
        <v>2630</v>
      </c>
      <c r="L81" s="36">
        <f>N81*0.93</f>
        <v>12.8526</v>
      </c>
      <c r="M81" s="37">
        <f>CEILING(L81*O81,10)</f>
        <v>2580</v>
      </c>
      <c r="N81" s="276">
        <v>13.82</v>
      </c>
      <c r="O81" s="332">
        <v>200</v>
      </c>
      <c r="Q81" s="312">
        <f>F81*0.87</f>
        <v>12.0234</v>
      </c>
      <c r="R81" s="477">
        <f>E81*Q81</f>
        <v>2404.6800000000003</v>
      </c>
    </row>
    <row r="82" spans="1:18" ht="15.75" customHeight="1" hidden="1">
      <c r="A82" s="851" t="s">
        <v>440</v>
      </c>
      <c r="B82" s="852"/>
      <c r="C82" s="853"/>
      <c r="D82" s="34">
        <v>3.2</v>
      </c>
      <c r="E82" s="307">
        <v>150</v>
      </c>
      <c r="F82" s="154">
        <f>N82</f>
        <v>19.54</v>
      </c>
      <c r="G82" s="155">
        <f>CEILING(F82*O82,10)</f>
        <v>2940</v>
      </c>
      <c r="H82" s="154">
        <f>N82*0.97</f>
        <v>18.953799999999998</v>
      </c>
      <c r="I82" s="155">
        <f>CEILING(H82*O82,10)</f>
        <v>2850</v>
      </c>
      <c r="J82" s="154">
        <f>N82*0.95</f>
        <v>18.563</v>
      </c>
      <c r="K82" s="155">
        <f>CEILING(J82*O82,10)</f>
        <v>2790</v>
      </c>
      <c r="L82" s="154">
        <f>N82*0.9</f>
        <v>17.586</v>
      </c>
      <c r="M82" s="155">
        <f>CEILING(L82*O82,10)</f>
        <v>2640</v>
      </c>
      <c r="N82" s="276">
        <v>19.54</v>
      </c>
      <c r="O82" s="332">
        <v>150</v>
      </c>
      <c r="Q82" s="313">
        <f>F82*0.87</f>
        <v>16.9998</v>
      </c>
      <c r="R82" s="478">
        <f>E82*Q82</f>
        <v>2549.9700000000003</v>
      </c>
    </row>
    <row r="83" spans="1:18" ht="15.75" customHeight="1" hidden="1" thickBot="1">
      <c r="A83" s="854" t="s">
        <v>426</v>
      </c>
      <c r="B83" s="855"/>
      <c r="C83" s="856"/>
      <c r="D83" s="306">
        <v>3.2</v>
      </c>
      <c r="E83" s="300">
        <v>150</v>
      </c>
      <c r="F83" s="297">
        <f>N83</f>
        <v>20.1</v>
      </c>
      <c r="G83" s="287">
        <f>CEILING(F83*O83,10)</f>
        <v>3020</v>
      </c>
      <c r="H83" s="297">
        <f>N83*0.97</f>
        <v>19.497</v>
      </c>
      <c r="I83" s="287">
        <f>CEILING(H83*O83,10)</f>
        <v>2930</v>
      </c>
      <c r="J83" s="297">
        <f>N83*0.95</f>
        <v>19.095</v>
      </c>
      <c r="K83" s="287">
        <f>CEILING(J83*O83,10)</f>
        <v>2870</v>
      </c>
      <c r="L83" s="297">
        <f>N83*0.93</f>
        <v>18.693</v>
      </c>
      <c r="M83" s="287">
        <f>CEILING(L83*O83,10)</f>
        <v>2810</v>
      </c>
      <c r="N83" s="276">
        <v>20.1</v>
      </c>
      <c r="O83" s="332">
        <v>150</v>
      </c>
      <c r="Q83" s="314">
        <f>F83*0.87</f>
        <v>17.487000000000002</v>
      </c>
      <c r="R83" s="479">
        <f>E83*Q83</f>
        <v>2623.05</v>
      </c>
    </row>
    <row r="84" spans="1:18" ht="15" customHeight="1" thickTop="1">
      <c r="A84" s="954" t="s">
        <v>617</v>
      </c>
      <c r="B84" s="955"/>
      <c r="C84" s="955"/>
      <c r="D84" s="955"/>
      <c r="E84" s="956"/>
      <c r="F84" s="65">
        <f>G84/O84</f>
        <v>200</v>
      </c>
      <c r="G84" s="511">
        <v>600</v>
      </c>
      <c r="H84" s="65">
        <f>I84/O84</f>
        <v>180</v>
      </c>
      <c r="I84" s="511">
        <v>540</v>
      </c>
      <c r="J84" s="65">
        <f>K84/O84</f>
        <v>160</v>
      </c>
      <c r="K84" s="511">
        <v>480</v>
      </c>
      <c r="L84" s="65">
        <f>M84/O84</f>
        <v>150</v>
      </c>
      <c r="M84" s="511">
        <v>450</v>
      </c>
      <c r="N84" s="279">
        <v>285</v>
      </c>
      <c r="O84" s="339">
        <v>3</v>
      </c>
      <c r="Q84" s="230">
        <f>R84/O84</f>
        <v>140</v>
      </c>
      <c r="R84" s="512">
        <v>420</v>
      </c>
    </row>
    <row r="85" spans="1:18" ht="15" customHeight="1">
      <c r="A85" s="733" t="s">
        <v>616</v>
      </c>
      <c r="B85" s="734"/>
      <c r="C85" s="734"/>
      <c r="D85" s="734"/>
      <c r="E85" s="735"/>
      <c r="F85" s="52">
        <f>G85/O85</f>
        <v>200</v>
      </c>
      <c r="G85" s="53">
        <v>600</v>
      </c>
      <c r="H85" s="52">
        <f>I85/O85</f>
        <v>180</v>
      </c>
      <c r="I85" s="53">
        <v>540</v>
      </c>
      <c r="J85" s="52">
        <f>K85/O85</f>
        <v>160</v>
      </c>
      <c r="K85" s="53">
        <v>480</v>
      </c>
      <c r="L85" s="52">
        <f>M85/O85</f>
        <v>150</v>
      </c>
      <c r="M85" s="53">
        <v>450</v>
      </c>
      <c r="N85" s="279">
        <v>310</v>
      </c>
      <c r="O85" s="339">
        <v>3</v>
      </c>
      <c r="Q85" s="235">
        <f>R85/O85</f>
        <v>140</v>
      </c>
      <c r="R85" s="474">
        <v>420</v>
      </c>
    </row>
    <row r="86" spans="1:18" ht="15" customHeight="1" thickBot="1">
      <c r="A86" s="811" t="s">
        <v>618</v>
      </c>
      <c r="B86" s="812"/>
      <c r="C86" s="812"/>
      <c r="D86" s="812"/>
      <c r="E86" s="813"/>
      <c r="F86" s="50">
        <f>G86/O86</f>
        <v>500</v>
      </c>
      <c r="G86" s="51">
        <v>1500</v>
      </c>
      <c r="H86" s="50">
        <f>I86/O86</f>
        <v>450</v>
      </c>
      <c r="I86" s="51">
        <v>1350</v>
      </c>
      <c r="J86" s="50">
        <f>K86/O86</f>
        <v>405</v>
      </c>
      <c r="K86" s="51">
        <v>1215</v>
      </c>
      <c r="L86" s="50">
        <f>M86/O86</f>
        <v>370</v>
      </c>
      <c r="M86" s="51">
        <v>1110</v>
      </c>
      <c r="N86" s="279">
        <v>820</v>
      </c>
      <c r="O86" s="339">
        <v>3</v>
      </c>
      <c r="Q86" s="236">
        <f>R86/O86</f>
        <v>350</v>
      </c>
      <c r="R86" s="475">
        <v>1050</v>
      </c>
    </row>
    <row r="87" spans="1:18" ht="39.75" customHeight="1" thickTop="1">
      <c r="A87" s="953" t="s">
        <v>28</v>
      </c>
      <c r="B87" s="953"/>
      <c r="C87" s="953"/>
      <c r="D87" s="953"/>
      <c r="E87" s="953" t="s">
        <v>28</v>
      </c>
      <c r="F87" s="953"/>
      <c r="G87" s="953"/>
      <c r="H87" s="953"/>
      <c r="I87" s="953"/>
      <c r="J87" s="953"/>
      <c r="K87" s="953"/>
      <c r="L87" s="953"/>
      <c r="M87" s="953"/>
      <c r="Q87" s="225"/>
      <c r="R87" s="225"/>
    </row>
    <row r="88" spans="1:18" ht="12.75" customHeight="1" hidden="1">
      <c r="A88" s="134" t="s">
        <v>17</v>
      </c>
      <c r="B88" s="326">
        <f>O93</f>
        <v>123</v>
      </c>
      <c r="E88" s="191"/>
      <c r="F88" s="191"/>
      <c r="G88" s="191"/>
      <c r="H88" s="191"/>
      <c r="I88" s="191"/>
      <c r="K88" s="20"/>
      <c r="L88" s="13"/>
      <c r="M88" s="19"/>
      <c r="Q88" s="225"/>
      <c r="R88" s="225"/>
    </row>
    <row r="89" spans="1:18" ht="12.75" customHeight="1" hidden="1">
      <c r="A89" s="12" t="s">
        <v>18</v>
      </c>
      <c r="B89" s="326">
        <f>B88+5</f>
        <v>128</v>
      </c>
      <c r="E89" s="43"/>
      <c r="F89" s="43"/>
      <c r="G89" s="43"/>
      <c r="H89" s="43"/>
      <c r="I89" s="43"/>
      <c r="K89" s="20"/>
      <c r="L89" s="13"/>
      <c r="M89" s="19"/>
      <c r="Q89" s="224"/>
      <c r="R89" s="224"/>
    </row>
    <row r="90" spans="1:18" ht="12.75" customHeight="1" hidden="1">
      <c r="A90" s="327" t="s">
        <v>0</v>
      </c>
      <c r="B90" s="326">
        <v>74</v>
      </c>
      <c r="D90" s="11"/>
      <c r="E90" s="43"/>
      <c r="F90" s="43"/>
      <c r="G90" s="43"/>
      <c r="H90" s="43"/>
      <c r="I90" s="43"/>
      <c r="J90" s="11"/>
      <c r="K90" s="17"/>
      <c r="L90" s="11"/>
      <c r="M90" s="17"/>
      <c r="Q90" s="224"/>
      <c r="R90" s="224"/>
    </row>
    <row r="91" spans="1:18" ht="12.75" customHeight="1" hidden="1">
      <c r="A91" s="12" t="s">
        <v>19</v>
      </c>
      <c r="B91" s="326">
        <v>79</v>
      </c>
      <c r="D91" s="11"/>
      <c r="E91" s="43"/>
      <c r="F91" s="43"/>
      <c r="G91" s="43"/>
      <c r="H91" s="43"/>
      <c r="I91" s="43"/>
      <c r="J91" s="11"/>
      <c r="K91" s="17"/>
      <c r="L91" s="11"/>
      <c r="M91" s="17"/>
      <c r="Q91" s="224"/>
      <c r="R91" s="224"/>
    </row>
    <row r="92" spans="1:18" ht="12.75" customHeight="1">
      <c r="A92" s="25"/>
      <c r="B92" s="12" t="s">
        <v>23</v>
      </c>
      <c r="C92" s="22"/>
      <c r="D92" s="11"/>
      <c r="E92" s="24"/>
      <c r="F92" s="24"/>
      <c r="G92" s="24"/>
      <c r="H92" s="24"/>
      <c r="I92" s="24"/>
      <c r="J92" s="11"/>
      <c r="K92" s="17"/>
      <c r="L92" s="11"/>
      <c r="M92" s="17"/>
      <c r="Q92" s="226"/>
      <c r="R92" s="226"/>
    </row>
    <row r="93" spans="1:18" ht="12.75" customHeight="1">
      <c r="A93" s="26"/>
      <c r="B93" s="12" t="s">
        <v>382</v>
      </c>
      <c r="C93" s="22"/>
      <c r="D93" s="11"/>
      <c r="E93" s="24"/>
      <c r="F93" s="24"/>
      <c r="G93" s="24"/>
      <c r="H93" s="24"/>
      <c r="I93" s="24"/>
      <c r="J93" s="11"/>
      <c r="K93" s="17"/>
      <c r="L93" s="11"/>
      <c r="M93" s="17"/>
      <c r="N93" s="411" t="s">
        <v>545</v>
      </c>
      <c r="O93" s="413">
        <v>123</v>
      </c>
      <c r="Q93" s="226"/>
      <c r="R93" s="226"/>
    </row>
    <row r="94" spans="1:18" ht="12.75" customHeight="1">
      <c r="A94" s="27"/>
      <c r="B94" s="27"/>
      <c r="C94" s="28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411" t="s">
        <v>546</v>
      </c>
      <c r="O94" s="414">
        <v>131</v>
      </c>
      <c r="Q94" s="227"/>
      <c r="R94" s="228"/>
    </row>
    <row r="95" spans="1:18" ht="15.75" customHeight="1">
      <c r="A95" s="670" t="s">
        <v>270</v>
      </c>
      <c r="B95" s="671"/>
      <c r="C95" s="672"/>
      <c r="D95" s="187" t="s">
        <v>3</v>
      </c>
      <c r="E95" s="187" t="s">
        <v>5</v>
      </c>
      <c r="F95" s="673" t="s">
        <v>48</v>
      </c>
      <c r="G95" s="674"/>
      <c r="H95" s="673" t="s">
        <v>45</v>
      </c>
      <c r="I95" s="674"/>
      <c r="J95" s="673" t="s">
        <v>46</v>
      </c>
      <c r="K95" s="674"/>
      <c r="L95" s="673" t="s">
        <v>47</v>
      </c>
      <c r="M95" s="674"/>
      <c r="N95" s="170"/>
      <c r="Q95" s="676"/>
      <c r="R95" s="677"/>
    </row>
    <row r="96" spans="1:18" s="288" customFormat="1" ht="15.75" customHeight="1" thickBot="1">
      <c r="A96" s="663"/>
      <c r="B96" s="664"/>
      <c r="C96" s="665"/>
      <c r="D96" s="181" t="s">
        <v>4</v>
      </c>
      <c r="E96" s="181" t="s">
        <v>1</v>
      </c>
      <c r="F96" s="182" t="s">
        <v>6</v>
      </c>
      <c r="G96" s="183" t="s">
        <v>7</v>
      </c>
      <c r="H96" s="182" t="s">
        <v>6</v>
      </c>
      <c r="I96" s="183" t="s">
        <v>7</v>
      </c>
      <c r="J96" s="182" t="s">
        <v>6</v>
      </c>
      <c r="K96" s="183" t="s">
        <v>7</v>
      </c>
      <c r="L96" s="182" t="s">
        <v>6</v>
      </c>
      <c r="M96" s="183" t="s">
        <v>7</v>
      </c>
      <c r="N96" s="170"/>
      <c r="O96" s="334" t="s">
        <v>20</v>
      </c>
      <c r="P96" s="170"/>
      <c r="Q96" s="229"/>
      <c r="R96" s="461"/>
    </row>
    <row r="97" spans="1:18" s="288" customFormat="1" ht="15.75" customHeight="1" thickBot="1" thickTop="1">
      <c r="A97" s="957" t="s">
        <v>547</v>
      </c>
      <c r="B97" s="958"/>
      <c r="C97" s="959"/>
      <c r="D97" s="431" t="s">
        <v>586</v>
      </c>
      <c r="E97" s="268">
        <v>11</v>
      </c>
      <c r="F97" s="65">
        <f>_xlfn.CEILING.MATH(N97*1.15,1)</f>
        <v>142</v>
      </c>
      <c r="G97" s="31">
        <f>CEILING(F97*O97,10)</f>
        <v>1570</v>
      </c>
      <c r="H97" s="65">
        <f>_xlfn.CEILING.MATH(N97*1.135,1)</f>
        <v>140</v>
      </c>
      <c r="I97" s="31">
        <f>CEILING(H97*O97,10)</f>
        <v>1540</v>
      </c>
      <c r="J97" s="65">
        <f>_xlfn.CEILING.MATH(N97*1.12,1)</f>
        <v>138</v>
      </c>
      <c r="K97" s="31">
        <f>CEILING(J97*O97,10)</f>
        <v>1520</v>
      </c>
      <c r="L97" s="65">
        <f>_xlfn.CEILING.MATH(N97*1.105,1)</f>
        <v>136</v>
      </c>
      <c r="M97" s="31">
        <f>CEILING(L97*O97,10)</f>
        <v>1500</v>
      </c>
      <c r="N97" s="412">
        <f>O93</f>
        <v>123</v>
      </c>
      <c r="O97" s="335">
        <f>E97</f>
        <v>11</v>
      </c>
      <c r="P97" s="170"/>
      <c r="Q97" s="253"/>
      <c r="R97" s="480"/>
    </row>
    <row r="98" spans="1:18" s="503" customFormat="1" ht="15.75" customHeight="1" thickTop="1">
      <c r="A98" s="902"/>
      <c r="B98" s="903"/>
      <c r="C98" s="904"/>
      <c r="D98" s="269" t="s">
        <v>542</v>
      </c>
      <c r="E98" s="269">
        <v>15</v>
      </c>
      <c r="F98" s="66">
        <f aca="true" t="shared" si="22" ref="F98:F123">_xlfn.CEILING.MATH(N98*1.15,1)</f>
        <v>142</v>
      </c>
      <c r="G98" s="255">
        <f>CEILING(F98*O98,10)</f>
        <v>2130</v>
      </c>
      <c r="H98" s="66">
        <f aca="true" t="shared" si="23" ref="H98:H123">_xlfn.CEILING.MATH(N98*1.135,1)</f>
        <v>140</v>
      </c>
      <c r="I98" s="255">
        <f>CEILING(H98*O98,10)</f>
        <v>2100</v>
      </c>
      <c r="J98" s="66">
        <f aca="true" t="shared" si="24" ref="J98:J123">_xlfn.CEILING.MATH(N98*1.12,1)</f>
        <v>138</v>
      </c>
      <c r="K98" s="255">
        <f>CEILING(J98*O98,10)</f>
        <v>2070</v>
      </c>
      <c r="L98" s="66">
        <f aca="true" t="shared" si="25" ref="L98:L123">_xlfn.CEILING.MATH(N98*1.105,1)</f>
        <v>136</v>
      </c>
      <c r="M98" s="255">
        <f>CEILING(L98*O98,10)</f>
        <v>2040</v>
      </c>
      <c r="N98" s="412">
        <f>O93</f>
        <v>123</v>
      </c>
      <c r="O98" s="335">
        <f>E98</f>
        <v>15</v>
      </c>
      <c r="P98" s="274"/>
      <c r="Q98" s="230"/>
      <c r="R98" s="481"/>
    </row>
    <row r="99" spans="1:18" s="503" customFormat="1" ht="15.75" customHeight="1">
      <c r="A99" s="902"/>
      <c r="B99" s="903"/>
      <c r="C99" s="904"/>
      <c r="D99" s="270" t="s">
        <v>541</v>
      </c>
      <c r="E99" s="270">
        <v>20</v>
      </c>
      <c r="F99" s="66">
        <f t="shared" si="22"/>
        <v>142</v>
      </c>
      <c r="G99" s="18">
        <f aca="true" t="shared" si="26" ref="G99:G123">CEILING(F99*O99,10)</f>
        <v>2840</v>
      </c>
      <c r="H99" s="66">
        <f t="shared" si="23"/>
        <v>140</v>
      </c>
      <c r="I99" s="18">
        <f aca="true" t="shared" si="27" ref="I99:I123">CEILING(H99*O99,10)</f>
        <v>2800</v>
      </c>
      <c r="J99" s="66">
        <f t="shared" si="24"/>
        <v>138</v>
      </c>
      <c r="K99" s="18">
        <f aca="true" t="shared" si="28" ref="K99:K123">CEILING(J99*O99,10)</f>
        <v>2760</v>
      </c>
      <c r="L99" s="66">
        <f t="shared" si="25"/>
        <v>136</v>
      </c>
      <c r="M99" s="18">
        <f aca="true" t="shared" si="29" ref="M99:M123">CEILING(L99*O99,10)</f>
        <v>2720</v>
      </c>
      <c r="N99" s="412">
        <f>O93</f>
        <v>123</v>
      </c>
      <c r="O99" s="335">
        <f>E99</f>
        <v>20</v>
      </c>
      <c r="P99" s="274"/>
      <c r="Q99" s="231"/>
      <c r="R99" s="482"/>
    </row>
    <row r="100" spans="1:18" s="503" customFormat="1" ht="15">
      <c r="A100" s="902"/>
      <c r="B100" s="903"/>
      <c r="C100" s="904"/>
      <c r="D100" s="946" t="s">
        <v>538</v>
      </c>
      <c r="E100" s="838">
        <v>25</v>
      </c>
      <c r="F100" s="67">
        <f t="shared" si="22"/>
        <v>142</v>
      </c>
      <c r="G100" s="40">
        <f t="shared" si="26"/>
        <v>3550</v>
      </c>
      <c r="H100" s="67">
        <f t="shared" si="23"/>
        <v>140</v>
      </c>
      <c r="I100" s="40">
        <f t="shared" si="27"/>
        <v>3500</v>
      </c>
      <c r="J100" s="67">
        <f t="shared" si="24"/>
        <v>138</v>
      </c>
      <c r="K100" s="40">
        <f t="shared" si="28"/>
        <v>3450</v>
      </c>
      <c r="L100" s="67">
        <f t="shared" si="25"/>
        <v>136</v>
      </c>
      <c r="M100" s="40">
        <f t="shared" si="29"/>
        <v>3400</v>
      </c>
      <c r="N100" s="412">
        <f>O93</f>
        <v>123</v>
      </c>
      <c r="O100" s="335">
        <f>E100</f>
        <v>25</v>
      </c>
      <c r="P100" s="274"/>
      <c r="Q100" s="232"/>
      <c r="R100" s="483"/>
    </row>
    <row r="101" spans="1:18" s="503" customFormat="1" ht="15">
      <c r="A101" s="902"/>
      <c r="B101" s="903"/>
      <c r="C101" s="904"/>
      <c r="D101" s="947"/>
      <c r="E101" s="839"/>
      <c r="F101" s="64">
        <f t="shared" si="22"/>
        <v>151</v>
      </c>
      <c r="G101" s="41">
        <f t="shared" si="26"/>
        <v>3780</v>
      </c>
      <c r="H101" s="64">
        <f t="shared" si="23"/>
        <v>149</v>
      </c>
      <c r="I101" s="41">
        <f t="shared" si="27"/>
        <v>3730</v>
      </c>
      <c r="J101" s="64">
        <f t="shared" si="24"/>
        <v>147</v>
      </c>
      <c r="K101" s="41">
        <f t="shared" si="28"/>
        <v>3680</v>
      </c>
      <c r="L101" s="64">
        <f t="shared" si="25"/>
        <v>145</v>
      </c>
      <c r="M101" s="41">
        <f t="shared" si="29"/>
        <v>3630</v>
      </c>
      <c r="N101" s="412">
        <f>O94</f>
        <v>131</v>
      </c>
      <c r="O101" s="335">
        <f>E100</f>
        <v>25</v>
      </c>
      <c r="P101" s="274"/>
      <c r="Q101" s="233"/>
      <c r="R101" s="484"/>
    </row>
    <row r="102" spans="1:18" s="503" customFormat="1" ht="15">
      <c r="A102" s="902"/>
      <c r="B102" s="903"/>
      <c r="C102" s="904"/>
      <c r="D102" s="837" t="s">
        <v>537</v>
      </c>
      <c r="E102" s="837">
        <v>30</v>
      </c>
      <c r="F102" s="67">
        <f t="shared" si="22"/>
        <v>142</v>
      </c>
      <c r="G102" s="40">
        <f t="shared" si="26"/>
        <v>4260</v>
      </c>
      <c r="H102" s="67">
        <f t="shared" si="23"/>
        <v>140</v>
      </c>
      <c r="I102" s="40">
        <f t="shared" si="27"/>
        <v>4200</v>
      </c>
      <c r="J102" s="67">
        <f t="shared" si="24"/>
        <v>138</v>
      </c>
      <c r="K102" s="40">
        <f t="shared" si="28"/>
        <v>4140</v>
      </c>
      <c r="L102" s="67">
        <f t="shared" si="25"/>
        <v>136</v>
      </c>
      <c r="M102" s="40">
        <f t="shared" si="29"/>
        <v>4080</v>
      </c>
      <c r="N102" s="412">
        <f>O93</f>
        <v>123</v>
      </c>
      <c r="O102" s="335">
        <f>E102</f>
        <v>30</v>
      </c>
      <c r="P102" s="274"/>
      <c r="Q102" s="232"/>
      <c r="R102" s="483"/>
    </row>
    <row r="103" spans="1:18" s="503" customFormat="1" ht="15">
      <c r="A103" s="902"/>
      <c r="B103" s="903"/>
      <c r="C103" s="904"/>
      <c r="D103" s="836"/>
      <c r="E103" s="839"/>
      <c r="F103" s="64">
        <f t="shared" si="22"/>
        <v>151</v>
      </c>
      <c r="G103" s="41">
        <f t="shared" si="26"/>
        <v>4530</v>
      </c>
      <c r="H103" s="64">
        <f t="shared" si="23"/>
        <v>149</v>
      </c>
      <c r="I103" s="41">
        <f t="shared" si="27"/>
        <v>4470</v>
      </c>
      <c r="J103" s="64">
        <f t="shared" si="24"/>
        <v>147</v>
      </c>
      <c r="K103" s="41">
        <f t="shared" si="28"/>
        <v>4410</v>
      </c>
      <c r="L103" s="64">
        <f t="shared" si="25"/>
        <v>145</v>
      </c>
      <c r="M103" s="41">
        <f t="shared" si="29"/>
        <v>4350</v>
      </c>
      <c r="N103" s="412">
        <f>O94</f>
        <v>131</v>
      </c>
      <c r="O103" s="335">
        <f>E102</f>
        <v>30</v>
      </c>
      <c r="P103" s="274"/>
      <c r="Q103" s="233"/>
      <c r="R103" s="484"/>
    </row>
    <row r="104" spans="1:18" s="503" customFormat="1" ht="15">
      <c r="A104" s="902"/>
      <c r="B104" s="903"/>
      <c r="C104" s="904"/>
      <c r="D104" s="838" t="s">
        <v>535</v>
      </c>
      <c r="E104" s="838">
        <v>37</v>
      </c>
      <c r="F104" s="67">
        <f t="shared" si="22"/>
        <v>142</v>
      </c>
      <c r="G104" s="40">
        <f t="shared" si="26"/>
        <v>5260</v>
      </c>
      <c r="H104" s="67">
        <f t="shared" si="23"/>
        <v>140</v>
      </c>
      <c r="I104" s="40">
        <f t="shared" si="27"/>
        <v>5180</v>
      </c>
      <c r="J104" s="67">
        <f t="shared" si="24"/>
        <v>138</v>
      </c>
      <c r="K104" s="40">
        <f t="shared" si="28"/>
        <v>5110</v>
      </c>
      <c r="L104" s="67">
        <f t="shared" si="25"/>
        <v>136</v>
      </c>
      <c r="M104" s="40">
        <f t="shared" si="29"/>
        <v>5040</v>
      </c>
      <c r="N104" s="412">
        <f>O93</f>
        <v>123</v>
      </c>
      <c r="O104" s="335">
        <f>E104</f>
        <v>37</v>
      </c>
      <c r="P104" s="274"/>
      <c r="Q104" s="232"/>
      <c r="R104" s="483"/>
    </row>
    <row r="105" spans="1:18" s="503" customFormat="1" ht="15">
      <c r="A105" s="902"/>
      <c r="B105" s="903"/>
      <c r="C105" s="904"/>
      <c r="D105" s="836"/>
      <c r="E105" s="839"/>
      <c r="F105" s="64">
        <f t="shared" si="22"/>
        <v>151</v>
      </c>
      <c r="G105" s="41">
        <f t="shared" si="26"/>
        <v>5590</v>
      </c>
      <c r="H105" s="64">
        <f t="shared" si="23"/>
        <v>149</v>
      </c>
      <c r="I105" s="41">
        <f t="shared" si="27"/>
        <v>5520</v>
      </c>
      <c r="J105" s="64">
        <f t="shared" si="24"/>
        <v>147</v>
      </c>
      <c r="K105" s="41">
        <f t="shared" si="28"/>
        <v>5440</v>
      </c>
      <c r="L105" s="64">
        <f t="shared" si="25"/>
        <v>145</v>
      </c>
      <c r="M105" s="41">
        <f t="shared" si="29"/>
        <v>5370</v>
      </c>
      <c r="N105" s="412">
        <f>O94</f>
        <v>131</v>
      </c>
      <c r="O105" s="335">
        <f>E104</f>
        <v>37</v>
      </c>
      <c r="P105" s="274"/>
      <c r="Q105" s="233"/>
      <c r="R105" s="484"/>
    </row>
    <row r="106" spans="1:18" s="503" customFormat="1" ht="15">
      <c r="A106" s="902"/>
      <c r="B106" s="903"/>
      <c r="C106" s="904"/>
      <c r="D106" s="838" t="s">
        <v>536</v>
      </c>
      <c r="E106" s="838">
        <v>25</v>
      </c>
      <c r="F106" s="67">
        <f t="shared" si="22"/>
        <v>142</v>
      </c>
      <c r="G106" s="40">
        <f t="shared" si="26"/>
        <v>3550</v>
      </c>
      <c r="H106" s="67">
        <f t="shared" si="23"/>
        <v>140</v>
      </c>
      <c r="I106" s="40">
        <f t="shared" si="27"/>
        <v>3500</v>
      </c>
      <c r="J106" s="67">
        <f t="shared" si="24"/>
        <v>138</v>
      </c>
      <c r="K106" s="40">
        <f t="shared" si="28"/>
        <v>3450</v>
      </c>
      <c r="L106" s="67">
        <f t="shared" si="25"/>
        <v>136</v>
      </c>
      <c r="M106" s="40">
        <f t="shared" si="29"/>
        <v>3400</v>
      </c>
      <c r="N106" s="412">
        <f>O93</f>
        <v>123</v>
      </c>
      <c r="O106" s="335">
        <f>E106</f>
        <v>25</v>
      </c>
      <c r="P106" s="274"/>
      <c r="Q106" s="232"/>
      <c r="R106" s="483"/>
    </row>
    <row r="107" spans="1:18" s="503" customFormat="1" ht="15">
      <c r="A107" s="960"/>
      <c r="B107" s="961"/>
      <c r="C107" s="962"/>
      <c r="D107" s="836"/>
      <c r="E107" s="839"/>
      <c r="F107" s="64">
        <f t="shared" si="22"/>
        <v>151</v>
      </c>
      <c r="G107" s="69">
        <f t="shared" si="26"/>
        <v>3780</v>
      </c>
      <c r="H107" s="64">
        <f t="shared" si="23"/>
        <v>149</v>
      </c>
      <c r="I107" s="69">
        <f t="shared" si="27"/>
        <v>3730</v>
      </c>
      <c r="J107" s="64">
        <f t="shared" si="24"/>
        <v>147</v>
      </c>
      <c r="K107" s="69">
        <f t="shared" si="28"/>
        <v>3680</v>
      </c>
      <c r="L107" s="64">
        <f t="shared" si="25"/>
        <v>145</v>
      </c>
      <c r="M107" s="69">
        <f t="shared" si="29"/>
        <v>3630</v>
      </c>
      <c r="N107" s="412">
        <f>O94</f>
        <v>131</v>
      </c>
      <c r="O107" s="335">
        <f>E106</f>
        <v>25</v>
      </c>
      <c r="P107" s="274"/>
      <c r="Q107" s="234"/>
      <c r="R107" s="471"/>
    </row>
    <row r="108" spans="1:18" s="503" customFormat="1" ht="15.75" customHeight="1" hidden="1">
      <c r="A108" s="902" t="s">
        <v>15</v>
      </c>
      <c r="B108" s="180"/>
      <c r="C108" s="180"/>
      <c r="D108" s="846">
        <v>100</v>
      </c>
      <c r="E108" s="838">
        <v>36</v>
      </c>
      <c r="F108" s="254">
        <f t="shared" si="22"/>
        <v>142</v>
      </c>
      <c r="G108" s="40">
        <f t="shared" si="26"/>
        <v>5120</v>
      </c>
      <c r="H108" s="254">
        <f t="shared" si="23"/>
        <v>140</v>
      </c>
      <c r="I108" s="40">
        <f t="shared" si="27"/>
        <v>5040</v>
      </c>
      <c r="J108" s="254">
        <f t="shared" si="24"/>
        <v>138</v>
      </c>
      <c r="K108" s="40">
        <f t="shared" si="28"/>
        <v>4970</v>
      </c>
      <c r="L108" s="254">
        <f t="shared" si="25"/>
        <v>136</v>
      </c>
      <c r="M108" s="40">
        <f t="shared" si="29"/>
        <v>4900</v>
      </c>
      <c r="N108" s="412">
        <f>B88</f>
        <v>123</v>
      </c>
      <c r="O108" s="335">
        <v>36</v>
      </c>
      <c r="P108" s="274"/>
      <c r="Q108" s="232"/>
      <c r="R108" s="483"/>
    </row>
    <row r="109" spans="1:18" s="503" customFormat="1" ht="15.75" customHeight="1" hidden="1">
      <c r="A109" s="902"/>
      <c r="B109" s="180"/>
      <c r="C109" s="180"/>
      <c r="D109" s="847"/>
      <c r="E109" s="839"/>
      <c r="F109" s="66">
        <f t="shared" si="22"/>
        <v>148</v>
      </c>
      <c r="G109" s="41">
        <f t="shared" si="26"/>
        <v>5330</v>
      </c>
      <c r="H109" s="66">
        <f t="shared" si="23"/>
        <v>146</v>
      </c>
      <c r="I109" s="41">
        <f t="shared" si="27"/>
        <v>5260</v>
      </c>
      <c r="J109" s="66">
        <f t="shared" si="24"/>
        <v>144</v>
      </c>
      <c r="K109" s="41">
        <f t="shared" si="28"/>
        <v>5190</v>
      </c>
      <c r="L109" s="66">
        <f t="shared" si="25"/>
        <v>142</v>
      </c>
      <c r="M109" s="41">
        <f t="shared" si="29"/>
        <v>5120</v>
      </c>
      <c r="N109" s="412">
        <f>B89</f>
        <v>128</v>
      </c>
      <c r="O109" s="335">
        <v>36</v>
      </c>
      <c r="P109" s="274"/>
      <c r="Q109" s="233"/>
      <c r="R109" s="484"/>
    </row>
    <row r="110" spans="1:18" s="503" customFormat="1" ht="15.75" customHeight="1" hidden="1">
      <c r="A110" s="963"/>
      <c r="B110" s="180"/>
      <c r="C110" s="180"/>
      <c r="D110" s="835">
        <v>120</v>
      </c>
      <c r="E110" s="837">
        <v>44</v>
      </c>
      <c r="F110" s="66">
        <f t="shared" si="22"/>
        <v>142</v>
      </c>
      <c r="G110" s="40">
        <f t="shared" si="26"/>
        <v>6250</v>
      </c>
      <c r="H110" s="66">
        <f t="shared" si="23"/>
        <v>140</v>
      </c>
      <c r="I110" s="40">
        <f t="shared" si="27"/>
        <v>6160</v>
      </c>
      <c r="J110" s="66">
        <f t="shared" si="24"/>
        <v>138</v>
      </c>
      <c r="K110" s="40">
        <f t="shared" si="28"/>
        <v>6080</v>
      </c>
      <c r="L110" s="66">
        <f t="shared" si="25"/>
        <v>136</v>
      </c>
      <c r="M110" s="40">
        <f t="shared" si="29"/>
        <v>5990</v>
      </c>
      <c r="N110" s="412">
        <f>B88</f>
        <v>123</v>
      </c>
      <c r="O110" s="335">
        <v>44</v>
      </c>
      <c r="P110" s="274"/>
      <c r="Q110" s="232"/>
      <c r="R110" s="483"/>
    </row>
    <row r="111" spans="1:18" s="503" customFormat="1" ht="15.75" customHeight="1" hidden="1">
      <c r="A111" s="963"/>
      <c r="B111" s="180"/>
      <c r="C111" s="180"/>
      <c r="D111" s="836"/>
      <c r="E111" s="839"/>
      <c r="F111" s="66">
        <f t="shared" si="22"/>
        <v>148</v>
      </c>
      <c r="G111" s="41">
        <f t="shared" si="26"/>
        <v>6520</v>
      </c>
      <c r="H111" s="66">
        <f t="shared" si="23"/>
        <v>146</v>
      </c>
      <c r="I111" s="41">
        <f t="shared" si="27"/>
        <v>6430</v>
      </c>
      <c r="J111" s="66">
        <f t="shared" si="24"/>
        <v>144</v>
      </c>
      <c r="K111" s="41">
        <f t="shared" si="28"/>
        <v>6340</v>
      </c>
      <c r="L111" s="66">
        <f t="shared" si="25"/>
        <v>142</v>
      </c>
      <c r="M111" s="41">
        <f t="shared" si="29"/>
        <v>6250</v>
      </c>
      <c r="N111" s="412">
        <f>B89</f>
        <v>128</v>
      </c>
      <c r="O111" s="335">
        <v>44</v>
      </c>
      <c r="P111" s="274"/>
      <c r="Q111" s="233"/>
      <c r="R111" s="484"/>
    </row>
    <row r="112" spans="1:18" s="503" customFormat="1" ht="15.75" customHeight="1" hidden="1">
      <c r="A112" s="963"/>
      <c r="B112" s="180"/>
      <c r="C112" s="180"/>
      <c r="D112" s="951">
        <v>150</v>
      </c>
      <c r="E112" s="838">
        <v>55</v>
      </c>
      <c r="F112" s="66">
        <f t="shared" si="22"/>
        <v>142</v>
      </c>
      <c r="G112" s="40">
        <f t="shared" si="26"/>
        <v>7810</v>
      </c>
      <c r="H112" s="66">
        <f t="shared" si="23"/>
        <v>140</v>
      </c>
      <c r="I112" s="40">
        <f t="shared" si="27"/>
        <v>7700</v>
      </c>
      <c r="J112" s="66">
        <f t="shared" si="24"/>
        <v>138</v>
      </c>
      <c r="K112" s="40">
        <f t="shared" si="28"/>
        <v>7590</v>
      </c>
      <c r="L112" s="66">
        <f t="shared" si="25"/>
        <v>136</v>
      </c>
      <c r="M112" s="40">
        <f t="shared" si="29"/>
        <v>7480</v>
      </c>
      <c r="N112" s="412">
        <f>B88</f>
        <v>123</v>
      </c>
      <c r="O112" s="335">
        <v>55</v>
      </c>
      <c r="P112" s="274"/>
      <c r="Q112" s="232"/>
      <c r="R112" s="483"/>
    </row>
    <row r="113" spans="1:18" s="503" customFormat="1" ht="15.75" customHeight="1" hidden="1">
      <c r="A113" s="963"/>
      <c r="B113" s="180"/>
      <c r="C113" s="180"/>
      <c r="D113" s="836"/>
      <c r="E113" s="839"/>
      <c r="F113" s="66">
        <f t="shared" si="22"/>
        <v>148</v>
      </c>
      <c r="G113" s="41">
        <f t="shared" si="26"/>
        <v>8140</v>
      </c>
      <c r="H113" s="66">
        <f t="shared" si="23"/>
        <v>146</v>
      </c>
      <c r="I113" s="41">
        <f t="shared" si="27"/>
        <v>8030</v>
      </c>
      <c r="J113" s="66">
        <f t="shared" si="24"/>
        <v>144</v>
      </c>
      <c r="K113" s="41">
        <f t="shared" si="28"/>
        <v>7920</v>
      </c>
      <c r="L113" s="66">
        <f t="shared" si="25"/>
        <v>142</v>
      </c>
      <c r="M113" s="41">
        <f t="shared" si="29"/>
        <v>7810</v>
      </c>
      <c r="N113" s="412">
        <f>B89</f>
        <v>128</v>
      </c>
      <c r="O113" s="335">
        <v>55</v>
      </c>
      <c r="P113" s="274"/>
      <c r="Q113" s="233"/>
      <c r="R113" s="484"/>
    </row>
    <row r="114" spans="1:18" s="503" customFormat="1" ht="15.75" customHeight="1" hidden="1">
      <c r="A114" s="963"/>
      <c r="B114" s="180"/>
      <c r="C114" s="180"/>
      <c r="D114" s="951">
        <v>200</v>
      </c>
      <c r="E114" s="838">
        <v>73</v>
      </c>
      <c r="F114" s="66">
        <f t="shared" si="22"/>
        <v>142</v>
      </c>
      <c r="G114" s="40">
        <f t="shared" si="26"/>
        <v>10370</v>
      </c>
      <c r="H114" s="66">
        <f t="shared" si="23"/>
        <v>140</v>
      </c>
      <c r="I114" s="40">
        <f t="shared" si="27"/>
        <v>10220</v>
      </c>
      <c r="J114" s="66">
        <f t="shared" si="24"/>
        <v>138</v>
      </c>
      <c r="K114" s="40">
        <f t="shared" si="28"/>
        <v>10080</v>
      </c>
      <c r="L114" s="66">
        <f t="shared" si="25"/>
        <v>136</v>
      </c>
      <c r="M114" s="40">
        <f t="shared" si="29"/>
        <v>9930</v>
      </c>
      <c r="N114" s="412">
        <f>B88</f>
        <v>123</v>
      </c>
      <c r="O114" s="335">
        <v>73</v>
      </c>
      <c r="P114" s="274"/>
      <c r="Q114" s="232"/>
      <c r="R114" s="483"/>
    </row>
    <row r="115" spans="1:18" s="503" customFormat="1" ht="15.75" customHeight="1" hidden="1">
      <c r="A115" s="963"/>
      <c r="B115" s="180"/>
      <c r="C115" s="180"/>
      <c r="D115" s="836"/>
      <c r="E115" s="839"/>
      <c r="F115" s="66">
        <f t="shared" si="22"/>
        <v>148</v>
      </c>
      <c r="G115" s="41">
        <f t="shared" si="26"/>
        <v>10810</v>
      </c>
      <c r="H115" s="66">
        <f t="shared" si="23"/>
        <v>146</v>
      </c>
      <c r="I115" s="41">
        <f t="shared" si="27"/>
        <v>10660</v>
      </c>
      <c r="J115" s="66">
        <f t="shared" si="24"/>
        <v>144</v>
      </c>
      <c r="K115" s="41">
        <f t="shared" si="28"/>
        <v>10520</v>
      </c>
      <c r="L115" s="66">
        <f t="shared" si="25"/>
        <v>142</v>
      </c>
      <c r="M115" s="41">
        <f t="shared" si="29"/>
        <v>10370</v>
      </c>
      <c r="N115" s="412">
        <f>B89</f>
        <v>128</v>
      </c>
      <c r="O115" s="335">
        <v>73</v>
      </c>
      <c r="P115" s="274"/>
      <c r="Q115" s="233"/>
      <c r="R115" s="484"/>
    </row>
    <row r="116" spans="1:18" s="503" customFormat="1" ht="15" customHeight="1">
      <c r="A116" s="899" t="s">
        <v>548</v>
      </c>
      <c r="B116" s="900"/>
      <c r="C116" s="901"/>
      <c r="D116" s="952" t="s">
        <v>544</v>
      </c>
      <c r="E116" s="837">
        <v>25</v>
      </c>
      <c r="F116" s="67">
        <f t="shared" si="22"/>
        <v>142</v>
      </c>
      <c r="G116" s="68">
        <f t="shared" si="26"/>
        <v>3550</v>
      </c>
      <c r="H116" s="67">
        <f t="shared" si="23"/>
        <v>140</v>
      </c>
      <c r="I116" s="68">
        <f t="shared" si="27"/>
        <v>3500</v>
      </c>
      <c r="J116" s="67">
        <f t="shared" si="24"/>
        <v>138</v>
      </c>
      <c r="K116" s="68">
        <f t="shared" si="28"/>
        <v>3450</v>
      </c>
      <c r="L116" s="67">
        <f t="shared" si="25"/>
        <v>136</v>
      </c>
      <c r="M116" s="68">
        <f t="shared" si="29"/>
        <v>3400</v>
      </c>
      <c r="N116" s="412">
        <f>O93</f>
        <v>123</v>
      </c>
      <c r="O116" s="335">
        <f>E116</f>
        <v>25</v>
      </c>
      <c r="P116" s="274"/>
      <c r="Q116" s="235"/>
      <c r="R116" s="472"/>
    </row>
    <row r="117" spans="1:18" s="503" customFormat="1" ht="15">
      <c r="A117" s="902"/>
      <c r="B117" s="903"/>
      <c r="C117" s="904"/>
      <c r="D117" s="947"/>
      <c r="E117" s="839"/>
      <c r="F117" s="64">
        <f t="shared" si="22"/>
        <v>151</v>
      </c>
      <c r="G117" s="41">
        <f t="shared" si="26"/>
        <v>3780</v>
      </c>
      <c r="H117" s="64">
        <f t="shared" si="23"/>
        <v>149</v>
      </c>
      <c r="I117" s="41">
        <f t="shared" si="27"/>
        <v>3730</v>
      </c>
      <c r="J117" s="64">
        <f t="shared" si="24"/>
        <v>147</v>
      </c>
      <c r="K117" s="41">
        <f t="shared" si="28"/>
        <v>3680</v>
      </c>
      <c r="L117" s="64">
        <f t="shared" si="25"/>
        <v>145</v>
      </c>
      <c r="M117" s="41">
        <f t="shared" si="29"/>
        <v>3630</v>
      </c>
      <c r="N117" s="412">
        <f>O94</f>
        <v>131</v>
      </c>
      <c r="O117" s="335">
        <f>E116</f>
        <v>25</v>
      </c>
      <c r="P117" s="274"/>
      <c r="Q117" s="233"/>
      <c r="R117" s="484"/>
    </row>
    <row r="118" spans="1:18" s="503" customFormat="1" ht="15">
      <c r="A118" s="902"/>
      <c r="B118" s="903"/>
      <c r="C118" s="904"/>
      <c r="D118" s="837" t="s">
        <v>543</v>
      </c>
      <c r="E118" s="837">
        <v>30</v>
      </c>
      <c r="F118" s="67">
        <f t="shared" si="22"/>
        <v>142</v>
      </c>
      <c r="G118" s="40">
        <f t="shared" si="26"/>
        <v>4260</v>
      </c>
      <c r="H118" s="67">
        <f t="shared" si="23"/>
        <v>140</v>
      </c>
      <c r="I118" s="40">
        <f t="shared" si="27"/>
        <v>4200</v>
      </c>
      <c r="J118" s="67">
        <f t="shared" si="24"/>
        <v>138</v>
      </c>
      <c r="K118" s="40">
        <f t="shared" si="28"/>
        <v>4140</v>
      </c>
      <c r="L118" s="67">
        <f t="shared" si="25"/>
        <v>136</v>
      </c>
      <c r="M118" s="40">
        <f t="shared" si="29"/>
        <v>4080</v>
      </c>
      <c r="N118" s="412">
        <f>O93</f>
        <v>123</v>
      </c>
      <c r="O118" s="335">
        <f>E118</f>
        <v>30</v>
      </c>
      <c r="P118" s="274"/>
      <c r="Q118" s="232"/>
      <c r="R118" s="483"/>
    </row>
    <row r="119" spans="1:18" s="503" customFormat="1" ht="15">
      <c r="A119" s="902"/>
      <c r="B119" s="903"/>
      <c r="C119" s="904"/>
      <c r="D119" s="836"/>
      <c r="E119" s="839"/>
      <c r="F119" s="64">
        <f t="shared" si="22"/>
        <v>151</v>
      </c>
      <c r="G119" s="41">
        <f t="shared" si="26"/>
        <v>4530</v>
      </c>
      <c r="H119" s="64">
        <f t="shared" si="23"/>
        <v>149</v>
      </c>
      <c r="I119" s="41">
        <f t="shared" si="27"/>
        <v>4470</v>
      </c>
      <c r="J119" s="64">
        <f t="shared" si="24"/>
        <v>147</v>
      </c>
      <c r="K119" s="41">
        <f t="shared" si="28"/>
        <v>4410</v>
      </c>
      <c r="L119" s="64">
        <f t="shared" si="25"/>
        <v>145</v>
      </c>
      <c r="M119" s="41">
        <f t="shared" si="29"/>
        <v>4350</v>
      </c>
      <c r="N119" s="412">
        <f>O94</f>
        <v>131</v>
      </c>
      <c r="O119" s="335">
        <f>E118</f>
        <v>30</v>
      </c>
      <c r="P119" s="274"/>
      <c r="Q119" s="233"/>
      <c r="R119" s="484"/>
    </row>
    <row r="120" spans="1:18" s="503" customFormat="1" ht="15">
      <c r="A120" s="902"/>
      <c r="B120" s="903"/>
      <c r="C120" s="904"/>
      <c r="D120" s="838" t="s">
        <v>539</v>
      </c>
      <c r="E120" s="838">
        <v>37</v>
      </c>
      <c r="F120" s="67">
        <f t="shared" si="22"/>
        <v>142</v>
      </c>
      <c r="G120" s="40">
        <f t="shared" si="26"/>
        <v>5260</v>
      </c>
      <c r="H120" s="67">
        <f t="shared" si="23"/>
        <v>140</v>
      </c>
      <c r="I120" s="40">
        <f t="shared" si="27"/>
        <v>5180</v>
      </c>
      <c r="J120" s="67">
        <f t="shared" si="24"/>
        <v>138</v>
      </c>
      <c r="K120" s="40">
        <f t="shared" si="28"/>
        <v>5110</v>
      </c>
      <c r="L120" s="67">
        <f t="shared" si="25"/>
        <v>136</v>
      </c>
      <c r="M120" s="40">
        <f t="shared" si="29"/>
        <v>5040</v>
      </c>
      <c r="N120" s="412">
        <f>O93</f>
        <v>123</v>
      </c>
      <c r="O120" s="335">
        <f>E120</f>
        <v>37</v>
      </c>
      <c r="P120" s="274"/>
      <c r="Q120" s="232"/>
      <c r="R120" s="483"/>
    </row>
    <row r="121" spans="1:18" s="503" customFormat="1" ht="15">
      <c r="A121" s="902"/>
      <c r="B121" s="903"/>
      <c r="C121" s="904"/>
      <c r="D121" s="836"/>
      <c r="E121" s="839"/>
      <c r="F121" s="64">
        <f t="shared" si="22"/>
        <v>151</v>
      </c>
      <c r="G121" s="41">
        <f t="shared" si="26"/>
        <v>5590</v>
      </c>
      <c r="H121" s="64">
        <f t="shared" si="23"/>
        <v>149</v>
      </c>
      <c r="I121" s="41">
        <f t="shared" si="27"/>
        <v>5520</v>
      </c>
      <c r="J121" s="64">
        <f t="shared" si="24"/>
        <v>147</v>
      </c>
      <c r="K121" s="41">
        <f t="shared" si="28"/>
        <v>5440</v>
      </c>
      <c r="L121" s="64">
        <f t="shared" si="25"/>
        <v>145</v>
      </c>
      <c r="M121" s="41">
        <f t="shared" si="29"/>
        <v>5370</v>
      </c>
      <c r="N121" s="412">
        <f>O94</f>
        <v>131</v>
      </c>
      <c r="O121" s="335">
        <f>E120</f>
        <v>37</v>
      </c>
      <c r="P121" s="274"/>
      <c r="Q121" s="233"/>
      <c r="R121" s="484"/>
    </row>
    <row r="122" spans="1:18" s="503" customFormat="1" ht="15">
      <c r="A122" s="902"/>
      <c r="B122" s="903"/>
      <c r="C122" s="904"/>
      <c r="D122" s="838" t="s">
        <v>540</v>
      </c>
      <c r="E122" s="838">
        <v>50</v>
      </c>
      <c r="F122" s="67">
        <f t="shared" si="22"/>
        <v>142</v>
      </c>
      <c r="G122" s="40">
        <f t="shared" si="26"/>
        <v>7100</v>
      </c>
      <c r="H122" s="67">
        <f t="shared" si="23"/>
        <v>140</v>
      </c>
      <c r="I122" s="40">
        <f t="shared" si="27"/>
        <v>7000</v>
      </c>
      <c r="J122" s="67">
        <f t="shared" si="24"/>
        <v>138</v>
      </c>
      <c r="K122" s="40">
        <f t="shared" si="28"/>
        <v>6900</v>
      </c>
      <c r="L122" s="67">
        <f t="shared" si="25"/>
        <v>136</v>
      </c>
      <c r="M122" s="40">
        <f t="shared" si="29"/>
        <v>6800</v>
      </c>
      <c r="N122" s="412">
        <f>O93</f>
        <v>123</v>
      </c>
      <c r="O122" s="335">
        <f>E122</f>
        <v>50</v>
      </c>
      <c r="P122" s="274"/>
      <c r="Q122" s="232"/>
      <c r="R122" s="483"/>
    </row>
    <row r="123" spans="1:18" s="503" customFormat="1" ht="15.75" thickBot="1">
      <c r="A123" s="905"/>
      <c r="B123" s="906"/>
      <c r="C123" s="907"/>
      <c r="D123" s="945"/>
      <c r="E123" s="944"/>
      <c r="F123" s="50">
        <f t="shared" si="22"/>
        <v>151</v>
      </c>
      <c r="G123" s="42">
        <f t="shared" si="26"/>
        <v>7550</v>
      </c>
      <c r="H123" s="50">
        <f t="shared" si="23"/>
        <v>149</v>
      </c>
      <c r="I123" s="42">
        <f t="shared" si="27"/>
        <v>7450</v>
      </c>
      <c r="J123" s="50">
        <f t="shared" si="24"/>
        <v>147</v>
      </c>
      <c r="K123" s="42">
        <f t="shared" si="28"/>
        <v>7350</v>
      </c>
      <c r="L123" s="50">
        <f t="shared" si="25"/>
        <v>145</v>
      </c>
      <c r="M123" s="42">
        <f t="shared" si="29"/>
        <v>7250</v>
      </c>
      <c r="N123" s="412">
        <f>O94</f>
        <v>131</v>
      </c>
      <c r="O123" s="335">
        <f>E122</f>
        <v>50</v>
      </c>
      <c r="P123" s="274"/>
      <c r="Q123" s="236"/>
      <c r="R123" s="485"/>
    </row>
    <row r="124" spans="1:18" ht="39.75" customHeight="1" thickTop="1">
      <c r="A124" s="659" t="s">
        <v>742</v>
      </c>
      <c r="B124" s="659"/>
      <c r="C124" s="659"/>
      <c r="D124" s="659"/>
      <c r="E124" s="659"/>
      <c r="F124" s="659"/>
      <c r="G124" s="659"/>
      <c r="H124" s="659"/>
      <c r="I124" s="659"/>
      <c r="J124" s="659"/>
      <c r="K124" s="659"/>
      <c r="L124" s="659"/>
      <c r="M124" s="659"/>
      <c r="Q124" s="225"/>
      <c r="R124" s="225"/>
    </row>
    <row r="125" spans="1:18" ht="15.75" customHeight="1">
      <c r="A125" s="670" t="s">
        <v>667</v>
      </c>
      <c r="B125" s="671"/>
      <c r="C125" s="671"/>
      <c r="D125" s="671"/>
      <c r="E125" s="672"/>
      <c r="F125" s="908" t="s">
        <v>48</v>
      </c>
      <c r="G125" s="909"/>
      <c r="H125" s="908" t="s">
        <v>45</v>
      </c>
      <c r="I125" s="909"/>
      <c r="J125" s="908" t="s">
        <v>46</v>
      </c>
      <c r="K125" s="909"/>
      <c r="L125" s="908" t="s">
        <v>47</v>
      </c>
      <c r="M125" s="909"/>
      <c r="N125" s="277" t="s">
        <v>665</v>
      </c>
      <c r="O125" s="337" t="s">
        <v>16</v>
      </c>
      <c r="Q125" s="981"/>
      <c r="R125" s="982"/>
    </row>
    <row r="126" spans="1:18" s="288" customFormat="1" ht="15.75" customHeight="1" thickBot="1">
      <c r="A126" s="663"/>
      <c r="B126" s="664"/>
      <c r="C126" s="664"/>
      <c r="D126" s="664"/>
      <c r="E126" s="665"/>
      <c r="F126" s="38" t="s">
        <v>666</v>
      </c>
      <c r="G126" s="39" t="s">
        <v>7</v>
      </c>
      <c r="H126" s="38" t="s">
        <v>666</v>
      </c>
      <c r="I126" s="39" t="s">
        <v>7</v>
      </c>
      <c r="J126" s="38" t="s">
        <v>666</v>
      </c>
      <c r="K126" s="39" t="s">
        <v>7</v>
      </c>
      <c r="L126" s="38" t="s">
        <v>666</v>
      </c>
      <c r="M126" s="39" t="s">
        <v>7</v>
      </c>
      <c r="N126" s="170"/>
      <c r="O126" s="623" t="s">
        <v>745</v>
      </c>
      <c r="P126" s="170" t="s">
        <v>743</v>
      </c>
      <c r="Q126" s="244"/>
      <c r="R126" s="486"/>
    </row>
    <row r="127" spans="1:18" s="503" customFormat="1" ht="15.75" thickTop="1">
      <c r="A127" s="641" t="s">
        <v>741</v>
      </c>
      <c r="B127" s="642"/>
      <c r="C127" s="642"/>
      <c r="D127" s="642"/>
      <c r="E127" s="643"/>
      <c r="F127" s="164">
        <f>CEILING(G127/N127,0.1)</f>
        <v>33.4</v>
      </c>
      <c r="G127" s="165">
        <f>CEILING(1.3*O127,10)</f>
        <v>19990</v>
      </c>
      <c r="H127" s="164">
        <f>CEILING(I127/N127,0.1)</f>
        <v>32.1</v>
      </c>
      <c r="I127" s="165">
        <f>CEILING(1.25*O127,10)</f>
        <v>19220</v>
      </c>
      <c r="J127" s="164">
        <f>CEILING(K127/N127,0.1)</f>
        <v>30.8</v>
      </c>
      <c r="K127" s="165">
        <f>CEILING(1.2*O127,10)</f>
        <v>18450</v>
      </c>
      <c r="L127" s="164">
        <f>CEILING(M127/N127,0.1)</f>
        <v>29.5</v>
      </c>
      <c r="M127" s="165">
        <f>CEILING(1.15*O127,5)</f>
        <v>17680</v>
      </c>
      <c r="N127" s="274">
        <v>600</v>
      </c>
      <c r="O127" s="335">
        <v>15370</v>
      </c>
      <c r="P127" s="622"/>
      <c r="Q127" s="235"/>
      <c r="R127" s="472">
        <f>CEILING(O127*1.1,10)</f>
        <v>16910</v>
      </c>
    </row>
    <row r="128" spans="1:18" s="503" customFormat="1" ht="15">
      <c r="A128" s="641" t="s">
        <v>737</v>
      </c>
      <c r="B128" s="642"/>
      <c r="C128" s="642"/>
      <c r="D128" s="642"/>
      <c r="E128" s="643"/>
      <c r="F128" s="164">
        <f>CEILING(G128/N128,0.1)</f>
        <v>40</v>
      </c>
      <c r="G128" s="165">
        <f>CEILING(1.3*O128,10)</f>
        <v>23980</v>
      </c>
      <c r="H128" s="164">
        <f>CEILING(I128/N128,0.1)</f>
        <v>38.5</v>
      </c>
      <c r="I128" s="165">
        <f>CEILING(1.25*O128,10)</f>
        <v>23050</v>
      </c>
      <c r="J128" s="164">
        <f>CEILING(K128/N128,0.1)</f>
        <v>36.9</v>
      </c>
      <c r="K128" s="165">
        <f>CEILING(1.2*O128,10)</f>
        <v>22130</v>
      </c>
      <c r="L128" s="164">
        <f>CEILING(M128/N128,0.1)</f>
        <v>35.4</v>
      </c>
      <c r="M128" s="165">
        <f>CEILING(1.15*O128,5)</f>
        <v>21210</v>
      </c>
      <c r="N128" s="274">
        <v>600</v>
      </c>
      <c r="O128" s="335">
        <v>18440</v>
      </c>
      <c r="P128" s="274"/>
      <c r="Q128" s="235"/>
      <c r="R128" s="472">
        <f>CEILING(O128*1.1,10)</f>
        <v>20290</v>
      </c>
    </row>
    <row r="129" spans="1:18" s="503" customFormat="1" ht="15">
      <c r="A129" s="641" t="s">
        <v>736</v>
      </c>
      <c r="B129" s="642"/>
      <c r="C129" s="642"/>
      <c r="D129" s="642"/>
      <c r="E129" s="643"/>
      <c r="F129" s="164">
        <f>CEILING(G129/N129,0.1)</f>
        <v>51.2</v>
      </c>
      <c r="G129" s="165">
        <f>CEILING(1.3*O129,10)</f>
        <v>30700</v>
      </c>
      <c r="H129" s="164">
        <f>CEILING(I129/N129,0.1)</f>
        <v>49.2</v>
      </c>
      <c r="I129" s="165">
        <f>CEILING(1.25*O129,10)</f>
        <v>29520</v>
      </c>
      <c r="J129" s="164">
        <f>CEILING(K129/N129,0.1)</f>
        <v>47.300000000000004</v>
      </c>
      <c r="K129" s="165">
        <f>CEILING(1.2*O129,10)</f>
        <v>28340</v>
      </c>
      <c r="L129" s="164">
        <f>CEILING(M129/N129,0.1)</f>
        <v>45.300000000000004</v>
      </c>
      <c r="M129" s="165">
        <f>CEILING(1.15*O129,5)</f>
        <v>27160</v>
      </c>
      <c r="N129" s="274">
        <v>600</v>
      </c>
      <c r="O129" s="335">
        <v>23615</v>
      </c>
      <c r="P129" s="274"/>
      <c r="Q129" s="235"/>
      <c r="R129" s="472">
        <f>CEILING(O129*1.1,10)</f>
        <v>25980</v>
      </c>
    </row>
    <row r="130" spans="1:18" s="503" customFormat="1" ht="15">
      <c r="A130" s="641" t="s">
        <v>740</v>
      </c>
      <c r="B130" s="642"/>
      <c r="C130" s="642"/>
      <c r="D130" s="642"/>
      <c r="E130" s="643"/>
      <c r="F130" s="164">
        <f>CEILING(G130/N130,0.1)</f>
        <v>62.400000000000006</v>
      </c>
      <c r="G130" s="165">
        <f>CEILING(1.3*O130,10)</f>
        <v>37420</v>
      </c>
      <c r="H130" s="164">
        <f>CEILING(I130/N130,0.1)</f>
        <v>60</v>
      </c>
      <c r="I130" s="165">
        <f>CEILING(1.25*O130,10)</f>
        <v>35980</v>
      </c>
      <c r="J130" s="164">
        <f>CEILING(K130/N130,0.1)</f>
        <v>57.6</v>
      </c>
      <c r="K130" s="165">
        <f>CEILING(1.2*O130,10)</f>
        <v>34540</v>
      </c>
      <c r="L130" s="164">
        <f>CEILING(M130/N130,0.1)</f>
        <v>55.2</v>
      </c>
      <c r="M130" s="165">
        <f>CEILING(1.15*O130,5)</f>
        <v>33100</v>
      </c>
      <c r="N130" s="274">
        <v>600</v>
      </c>
      <c r="O130" s="335">
        <v>28780</v>
      </c>
      <c r="P130" s="274"/>
      <c r="Q130" s="640"/>
      <c r="R130" s="472"/>
    </row>
    <row r="131" spans="1:18" s="542" customFormat="1" ht="15.75" thickBot="1">
      <c r="A131" s="948" t="s">
        <v>739</v>
      </c>
      <c r="B131" s="949"/>
      <c r="C131" s="949"/>
      <c r="D131" s="949"/>
      <c r="E131" s="950"/>
      <c r="F131" s="557">
        <f>CEILING(G131/N131,0.1)</f>
        <v>65.8</v>
      </c>
      <c r="G131" s="171">
        <f>CEILING(1.3*O131,10)</f>
        <v>39470</v>
      </c>
      <c r="H131" s="557">
        <f>CEILING(I131/N131,0.1)</f>
        <v>63.300000000000004</v>
      </c>
      <c r="I131" s="171">
        <f>CEILING(1.25*O131,10)</f>
        <v>37950</v>
      </c>
      <c r="J131" s="557">
        <f>CEILING(K131/N131,0.1)</f>
        <v>60.800000000000004</v>
      </c>
      <c r="K131" s="171">
        <f>CEILING(1.2*O131,10)</f>
        <v>36440</v>
      </c>
      <c r="L131" s="557">
        <f>CEILING(M131/N131,0.1)</f>
        <v>58.2</v>
      </c>
      <c r="M131" s="171">
        <f>CEILING(1.15*O131,5)</f>
        <v>34915</v>
      </c>
      <c r="N131" s="540">
        <v>600</v>
      </c>
      <c r="O131" s="541">
        <v>30360</v>
      </c>
      <c r="P131" s="540"/>
      <c r="Q131" s="233"/>
      <c r="R131" s="472">
        <f>CEILING(O131*1.1,10)</f>
        <v>33400</v>
      </c>
    </row>
    <row r="132" spans="1:18" ht="39.75" customHeight="1" thickTop="1">
      <c r="A132" s="659" t="s">
        <v>550</v>
      </c>
      <c r="B132" s="659"/>
      <c r="C132" s="659"/>
      <c r="D132" s="659"/>
      <c r="E132" s="659"/>
      <c r="F132" s="659"/>
      <c r="G132" s="659"/>
      <c r="H132" s="659"/>
      <c r="I132" s="659"/>
      <c r="J132" s="659"/>
      <c r="K132" s="659"/>
      <c r="L132" s="659"/>
      <c r="M132" s="659"/>
      <c r="Q132" s="225"/>
      <c r="R132" s="225"/>
    </row>
    <row r="133" spans="1:18" ht="15.75" customHeight="1">
      <c r="A133" s="660" t="s">
        <v>96</v>
      </c>
      <c r="B133" s="661"/>
      <c r="C133" s="661"/>
      <c r="D133" s="661"/>
      <c r="E133" s="662"/>
      <c r="F133" s="666" t="s">
        <v>48</v>
      </c>
      <c r="G133" s="667"/>
      <c r="H133" s="666" t="s">
        <v>45</v>
      </c>
      <c r="I133" s="667"/>
      <c r="J133" s="666" t="s">
        <v>46</v>
      </c>
      <c r="K133" s="667"/>
      <c r="L133" s="666" t="s">
        <v>47</v>
      </c>
      <c r="M133" s="667"/>
      <c r="Q133" s="676"/>
      <c r="R133" s="677"/>
    </row>
    <row r="134" spans="1:18" ht="15.75" customHeight="1" thickBot="1">
      <c r="A134" s="663"/>
      <c r="B134" s="664"/>
      <c r="C134" s="664"/>
      <c r="D134" s="664"/>
      <c r="E134" s="665"/>
      <c r="F134" s="678" t="s">
        <v>26</v>
      </c>
      <c r="G134" s="679"/>
      <c r="H134" s="678" t="s">
        <v>26</v>
      </c>
      <c r="I134" s="679"/>
      <c r="J134" s="678" t="s">
        <v>90</v>
      </c>
      <c r="K134" s="679"/>
      <c r="L134" s="678" t="s">
        <v>90</v>
      </c>
      <c r="M134" s="679"/>
      <c r="N134" s="277" t="s">
        <v>554</v>
      </c>
      <c r="O134" s="337"/>
      <c r="Q134" s="229"/>
      <c r="R134" s="461"/>
    </row>
    <row r="135" spans="1:18" ht="15.75" customHeight="1" thickTop="1">
      <c r="A135" s="941" t="s">
        <v>551</v>
      </c>
      <c r="B135" s="942"/>
      <c r="C135" s="942"/>
      <c r="D135" s="942"/>
      <c r="E135" s="943"/>
      <c r="F135" s="938">
        <f>_xlfn.CEILING.MATH(N135*1.3,10)</f>
        <v>7150</v>
      </c>
      <c r="G135" s="938"/>
      <c r="H135" s="938">
        <f>_xlfn.CEILING.MATH(N135*1.27,10)</f>
        <v>6990</v>
      </c>
      <c r="I135" s="938"/>
      <c r="J135" s="938">
        <f>_xlfn.CEILING.MATH(N135*1.24,10)</f>
        <v>6820</v>
      </c>
      <c r="K135" s="938"/>
      <c r="L135" s="938">
        <f>_xlfn.CEILING.MATH(N135*1.21,10)</f>
        <v>6660</v>
      </c>
      <c r="M135" s="938"/>
      <c r="N135" s="415">
        <v>5500</v>
      </c>
      <c r="Q135" s="245"/>
      <c r="R135" s="487"/>
    </row>
    <row r="136" spans="1:18" ht="15.75" customHeight="1">
      <c r="A136" s="641" t="s">
        <v>555</v>
      </c>
      <c r="B136" s="642"/>
      <c r="C136" s="642"/>
      <c r="D136" s="642"/>
      <c r="E136" s="643"/>
      <c r="F136" s="825">
        <f>_xlfn.CEILING.MATH(N136*1.3,10)</f>
        <v>4780</v>
      </c>
      <c r="G136" s="825"/>
      <c r="H136" s="825">
        <f>_xlfn.CEILING.MATH(N136*1.27,10)</f>
        <v>4670</v>
      </c>
      <c r="I136" s="825"/>
      <c r="J136" s="825">
        <f>_xlfn.CEILING.MATH(N136*1.24,10)</f>
        <v>4560</v>
      </c>
      <c r="K136" s="825"/>
      <c r="L136" s="825">
        <f>_xlfn.CEILING.MATH(N136*1.21,10)</f>
        <v>4450</v>
      </c>
      <c r="M136" s="825"/>
      <c r="N136" s="415">
        <v>3670</v>
      </c>
      <c r="Q136" s="235"/>
      <c r="R136" s="474"/>
    </row>
    <row r="137" spans="1:18" ht="15.75" customHeight="1">
      <c r="A137" s="829" t="s">
        <v>552</v>
      </c>
      <c r="B137" s="830"/>
      <c r="C137" s="830"/>
      <c r="D137" s="830"/>
      <c r="E137" s="831"/>
      <c r="F137" s="824">
        <f>_xlfn.CEILING.MATH(N137*1.3,10)</f>
        <v>7150</v>
      </c>
      <c r="G137" s="824"/>
      <c r="H137" s="824">
        <f>_xlfn.CEILING.MATH(N137*1.27,10)</f>
        <v>6990</v>
      </c>
      <c r="I137" s="824"/>
      <c r="J137" s="824">
        <f>_xlfn.CEILING.MATH(N137*1.24,10)</f>
        <v>6820</v>
      </c>
      <c r="K137" s="824"/>
      <c r="L137" s="824">
        <f>_xlfn.CEILING.MATH(N137*1.21,10)</f>
        <v>6660</v>
      </c>
      <c r="M137" s="824"/>
      <c r="N137" s="415">
        <v>5500</v>
      </c>
      <c r="Q137" s="246"/>
      <c r="R137" s="488"/>
    </row>
    <row r="138" spans="1:18" ht="15.75" customHeight="1" thickBot="1">
      <c r="A138" s="840" t="s">
        <v>553</v>
      </c>
      <c r="B138" s="841"/>
      <c r="C138" s="841"/>
      <c r="D138" s="841"/>
      <c r="E138" s="842"/>
      <c r="F138" s="689">
        <f>_xlfn.CEILING.MATH(N138*1.35,10)</f>
        <v>8100</v>
      </c>
      <c r="G138" s="689"/>
      <c r="H138" s="689">
        <f>_xlfn.CEILING.MATH(N138*1.3,10)</f>
        <v>7800</v>
      </c>
      <c r="I138" s="689"/>
      <c r="J138" s="689">
        <f>_xlfn.CEILING.MATH(N138*1.25,10)</f>
        <v>7500</v>
      </c>
      <c r="K138" s="689"/>
      <c r="L138" s="689">
        <f>_xlfn.CEILING.MATH(N138*1.2,10)</f>
        <v>7200</v>
      </c>
      <c r="M138" s="689"/>
      <c r="N138" s="415">
        <v>6000</v>
      </c>
      <c r="Q138" s="246"/>
      <c r="R138" s="488"/>
    </row>
    <row r="139" spans="1:18" ht="39.75" customHeight="1" thickTop="1">
      <c r="A139" s="659" t="s">
        <v>659</v>
      </c>
      <c r="B139" s="659"/>
      <c r="C139" s="659"/>
      <c r="D139" s="659"/>
      <c r="E139" s="659"/>
      <c r="F139" s="659"/>
      <c r="G139" s="659"/>
      <c r="H139" s="659"/>
      <c r="I139" s="659"/>
      <c r="J139" s="659"/>
      <c r="K139" s="659"/>
      <c r="L139" s="659"/>
      <c r="M139" s="659"/>
      <c r="Q139" s="225"/>
      <c r="R139" s="225"/>
    </row>
    <row r="140" spans="1:18" ht="15.75" customHeight="1">
      <c r="A140" s="660" t="s">
        <v>96</v>
      </c>
      <c r="B140" s="661"/>
      <c r="C140" s="661"/>
      <c r="D140" s="661"/>
      <c r="E140" s="662"/>
      <c r="F140" s="666" t="s">
        <v>48</v>
      </c>
      <c r="G140" s="667"/>
      <c r="H140" s="666" t="s">
        <v>45</v>
      </c>
      <c r="I140" s="667"/>
      <c r="J140" s="666" t="s">
        <v>46</v>
      </c>
      <c r="K140" s="667"/>
      <c r="L140" s="666" t="s">
        <v>47</v>
      </c>
      <c r="M140" s="667"/>
      <c r="Q140" s="676"/>
      <c r="R140" s="677"/>
    </row>
    <row r="141" spans="1:18" ht="15.75" customHeight="1" thickBot="1">
      <c r="A141" s="663"/>
      <c r="B141" s="664"/>
      <c r="C141" s="664"/>
      <c r="D141" s="664"/>
      <c r="E141" s="665"/>
      <c r="F141" s="182" t="s">
        <v>37</v>
      </c>
      <c r="G141" s="183" t="s">
        <v>26</v>
      </c>
      <c r="H141" s="182" t="s">
        <v>37</v>
      </c>
      <c r="I141" s="183" t="s">
        <v>26</v>
      </c>
      <c r="J141" s="182" t="s">
        <v>37</v>
      </c>
      <c r="K141" s="183" t="s">
        <v>26</v>
      </c>
      <c r="L141" s="182" t="s">
        <v>37</v>
      </c>
      <c r="M141" s="183" t="s">
        <v>26</v>
      </c>
      <c r="N141" s="277" t="s">
        <v>36</v>
      </c>
      <c r="O141" s="337" t="s">
        <v>88</v>
      </c>
      <c r="Q141" s="229"/>
      <c r="R141" s="461"/>
    </row>
    <row r="142" spans="1:18" ht="15.75" customHeight="1" thickTop="1">
      <c r="A142" s="843" t="s">
        <v>29</v>
      </c>
      <c r="B142" s="844"/>
      <c r="C142" s="844"/>
      <c r="D142" s="844"/>
      <c r="E142" s="845"/>
      <c r="F142" s="160">
        <f aca="true" t="shared" si="30" ref="F142:F148">CEILING(N142*1.5,1)</f>
        <v>36</v>
      </c>
      <c r="G142" s="161">
        <f aca="true" t="shared" si="31" ref="G142:G148">CEILING(F142*O142,50)</f>
        <v>1800</v>
      </c>
      <c r="H142" s="160">
        <f aca="true" t="shared" si="32" ref="H142:H148">CEILING(N142*1.4,1)</f>
        <v>34</v>
      </c>
      <c r="I142" s="161">
        <f aca="true" t="shared" si="33" ref="I142:I148">CEILING(H142*O142,10)</f>
        <v>1700</v>
      </c>
      <c r="J142" s="160">
        <f aca="true" t="shared" si="34" ref="J142:J148">CEILING(N142*1.3,0.5)</f>
        <v>31</v>
      </c>
      <c r="K142" s="161">
        <f aca="true" t="shared" si="35" ref="K142:K148">CEILING(J142*O142,10)</f>
        <v>1550</v>
      </c>
      <c r="L142" s="160">
        <f>CEILING(N142*1.2,0.5)</f>
        <v>28.5</v>
      </c>
      <c r="M142" s="161">
        <f aca="true" t="shared" si="36" ref="M142:M148">CEILING(L142*O142,10)</f>
        <v>1430</v>
      </c>
      <c r="N142" s="278">
        <v>23.72</v>
      </c>
      <c r="O142" s="332">
        <v>50</v>
      </c>
      <c r="Q142" s="245"/>
      <c r="R142" s="487"/>
    </row>
    <row r="143" spans="1:18" ht="15.75" customHeight="1">
      <c r="A143" s="829" t="s">
        <v>32</v>
      </c>
      <c r="B143" s="830"/>
      <c r="C143" s="830"/>
      <c r="D143" s="830" t="s">
        <v>30</v>
      </c>
      <c r="E143" s="831" t="s">
        <v>31</v>
      </c>
      <c r="F143" s="64">
        <f t="shared" si="30"/>
        <v>36</v>
      </c>
      <c r="G143" s="63">
        <f t="shared" si="31"/>
        <v>3600</v>
      </c>
      <c r="H143" s="64">
        <f t="shared" si="32"/>
        <v>34</v>
      </c>
      <c r="I143" s="63">
        <f t="shared" si="33"/>
        <v>3400</v>
      </c>
      <c r="J143" s="64">
        <f t="shared" si="34"/>
        <v>31</v>
      </c>
      <c r="K143" s="63">
        <f t="shared" si="35"/>
        <v>3100</v>
      </c>
      <c r="L143" s="64">
        <f aca="true" t="shared" si="37" ref="L143:L148">CEILING(N143*1.2,0.5)</f>
        <v>28.5</v>
      </c>
      <c r="M143" s="63">
        <f t="shared" si="36"/>
        <v>2850</v>
      </c>
      <c r="N143" s="278">
        <v>23.72</v>
      </c>
      <c r="O143" s="332">
        <v>100</v>
      </c>
      <c r="Q143" s="246"/>
      <c r="R143" s="488"/>
    </row>
    <row r="144" spans="1:18" ht="15.75" customHeight="1">
      <c r="A144" s="843" t="s">
        <v>502</v>
      </c>
      <c r="B144" s="844"/>
      <c r="C144" s="844"/>
      <c r="D144" s="844" t="s">
        <v>30</v>
      </c>
      <c r="E144" s="845" t="s">
        <v>31</v>
      </c>
      <c r="F144" s="52">
        <f>CEILING(N144*1.5,1)</f>
        <v>36</v>
      </c>
      <c r="G144" s="53">
        <f>CEILING(F144*O144,50)</f>
        <v>5400</v>
      </c>
      <c r="H144" s="52">
        <f>CEILING(N144*1.4,1)</f>
        <v>34</v>
      </c>
      <c r="I144" s="53">
        <f>CEILING(H144*O144,10)</f>
        <v>5100</v>
      </c>
      <c r="J144" s="52">
        <f t="shared" si="34"/>
        <v>31</v>
      </c>
      <c r="K144" s="53">
        <f>CEILING(J144*O144,10)</f>
        <v>4650</v>
      </c>
      <c r="L144" s="67">
        <f t="shared" si="37"/>
        <v>28.5</v>
      </c>
      <c r="M144" s="53">
        <f>CEILING(L144*O144,10)</f>
        <v>4280</v>
      </c>
      <c r="N144" s="278">
        <v>23.72</v>
      </c>
      <c r="O144" s="332">
        <v>150</v>
      </c>
      <c r="Q144" s="246"/>
      <c r="R144" s="488"/>
    </row>
    <row r="145" spans="1:18" ht="15.75" customHeight="1">
      <c r="A145" s="829" t="s">
        <v>33</v>
      </c>
      <c r="B145" s="830"/>
      <c r="C145" s="830"/>
      <c r="D145" s="830" t="s">
        <v>30</v>
      </c>
      <c r="E145" s="831" t="s">
        <v>31</v>
      </c>
      <c r="F145" s="64">
        <f>CEILING(N145*1.5,1)</f>
        <v>55</v>
      </c>
      <c r="G145" s="63">
        <f>CEILING(F145*O145,50)</f>
        <v>8250</v>
      </c>
      <c r="H145" s="64">
        <f>CEILING(N145*1.4,1)</f>
        <v>52</v>
      </c>
      <c r="I145" s="63">
        <f>CEILING(H145*O145,10)</f>
        <v>7800</v>
      </c>
      <c r="J145" s="64">
        <f t="shared" si="34"/>
        <v>48</v>
      </c>
      <c r="K145" s="63">
        <f>CEILING(J145*O145,10)</f>
        <v>7200</v>
      </c>
      <c r="L145" s="64">
        <f t="shared" si="37"/>
        <v>44</v>
      </c>
      <c r="M145" s="63">
        <f>CEILING(L145*O145,10)</f>
        <v>6600</v>
      </c>
      <c r="N145" s="278">
        <v>36.6</v>
      </c>
      <c r="O145" s="332">
        <v>150</v>
      </c>
      <c r="Q145" s="246"/>
      <c r="R145" s="488"/>
    </row>
    <row r="146" spans="1:18" ht="15.75" customHeight="1">
      <c r="A146" s="910" t="s">
        <v>503</v>
      </c>
      <c r="B146" s="911"/>
      <c r="C146" s="911"/>
      <c r="D146" s="911"/>
      <c r="E146" s="912"/>
      <c r="F146" s="52">
        <f>CEILING(N146*1.5,1)</f>
        <v>36</v>
      </c>
      <c r="G146" s="53">
        <f>CEILING(F146*O146,50)</f>
        <v>7200</v>
      </c>
      <c r="H146" s="52">
        <f>CEILING(N146*1.4,1)</f>
        <v>34</v>
      </c>
      <c r="I146" s="53">
        <f>CEILING(H146*O146,10)</f>
        <v>6800</v>
      </c>
      <c r="J146" s="52">
        <f t="shared" si="34"/>
        <v>31</v>
      </c>
      <c r="K146" s="53">
        <f>CEILING(J146*O146,10)</f>
        <v>6200</v>
      </c>
      <c r="L146" s="67">
        <f t="shared" si="37"/>
        <v>28.5</v>
      </c>
      <c r="M146" s="53">
        <f>CEILING(L146*O146,10)</f>
        <v>5700</v>
      </c>
      <c r="N146" s="278">
        <v>23.72</v>
      </c>
      <c r="O146" s="332">
        <v>200</v>
      </c>
      <c r="Q146" s="246"/>
      <c r="R146" s="488"/>
    </row>
    <row r="147" spans="1:18" ht="15.75" customHeight="1">
      <c r="A147" s="829" t="s">
        <v>34</v>
      </c>
      <c r="B147" s="830"/>
      <c r="C147" s="830"/>
      <c r="D147" s="830"/>
      <c r="E147" s="831"/>
      <c r="F147" s="64">
        <f t="shared" si="30"/>
        <v>55</v>
      </c>
      <c r="G147" s="63">
        <f t="shared" si="31"/>
        <v>11000</v>
      </c>
      <c r="H147" s="64">
        <f t="shared" si="32"/>
        <v>52</v>
      </c>
      <c r="I147" s="63">
        <f t="shared" si="33"/>
        <v>10400</v>
      </c>
      <c r="J147" s="64">
        <f t="shared" si="34"/>
        <v>48</v>
      </c>
      <c r="K147" s="63">
        <f t="shared" si="35"/>
        <v>9600</v>
      </c>
      <c r="L147" s="64">
        <f t="shared" si="37"/>
        <v>44</v>
      </c>
      <c r="M147" s="63">
        <f t="shared" si="36"/>
        <v>8800</v>
      </c>
      <c r="N147" s="278">
        <v>36.6</v>
      </c>
      <c r="O147" s="332">
        <v>200</v>
      </c>
      <c r="Q147" s="246"/>
      <c r="R147" s="488"/>
    </row>
    <row r="148" spans="1:18" ht="15.75" customHeight="1" thickBot="1">
      <c r="A148" s="840" t="s">
        <v>349</v>
      </c>
      <c r="B148" s="841"/>
      <c r="C148" s="841"/>
      <c r="D148" s="841"/>
      <c r="E148" s="842"/>
      <c r="F148" s="298">
        <f t="shared" si="30"/>
        <v>55</v>
      </c>
      <c r="G148" s="299">
        <f t="shared" si="31"/>
        <v>8250</v>
      </c>
      <c r="H148" s="298">
        <f t="shared" si="32"/>
        <v>52</v>
      </c>
      <c r="I148" s="299">
        <f t="shared" si="33"/>
        <v>7800</v>
      </c>
      <c r="J148" s="298">
        <f t="shared" si="34"/>
        <v>48</v>
      </c>
      <c r="K148" s="299">
        <f t="shared" si="35"/>
        <v>7200</v>
      </c>
      <c r="L148" s="560">
        <f t="shared" si="37"/>
        <v>44</v>
      </c>
      <c r="M148" s="299">
        <f t="shared" si="36"/>
        <v>6600</v>
      </c>
      <c r="N148" s="278">
        <v>36.6</v>
      </c>
      <c r="O148" s="338">
        <v>150</v>
      </c>
      <c r="Q148" s="236"/>
      <c r="R148" s="475"/>
    </row>
    <row r="149" spans="1:18" ht="39.75" customHeight="1" thickTop="1">
      <c r="A149" s="659" t="s">
        <v>660</v>
      </c>
      <c r="B149" s="659"/>
      <c r="C149" s="659"/>
      <c r="D149" s="659"/>
      <c r="E149" s="659"/>
      <c r="F149" s="659"/>
      <c r="G149" s="659"/>
      <c r="H149" s="659"/>
      <c r="I149" s="659"/>
      <c r="J149" s="659"/>
      <c r="K149" s="659"/>
      <c r="L149" s="659"/>
      <c r="M149" s="659"/>
      <c r="Q149" s="225"/>
      <c r="R149" s="225"/>
    </row>
    <row r="150" spans="1:18" ht="15.75" customHeight="1">
      <c r="A150" s="660" t="s">
        <v>96</v>
      </c>
      <c r="B150" s="661"/>
      <c r="C150" s="661"/>
      <c r="D150" s="661"/>
      <c r="E150" s="662"/>
      <c r="F150" s="666" t="s">
        <v>48</v>
      </c>
      <c r="G150" s="667"/>
      <c r="H150" s="666" t="s">
        <v>45</v>
      </c>
      <c r="I150" s="667"/>
      <c r="J150" s="666" t="s">
        <v>46</v>
      </c>
      <c r="K150" s="667"/>
      <c r="L150" s="666" t="s">
        <v>47</v>
      </c>
      <c r="M150" s="667"/>
      <c r="Q150" s="676"/>
      <c r="R150" s="677"/>
    </row>
    <row r="151" spans="1:18" ht="15.75" customHeight="1" thickBot="1">
      <c r="A151" s="663"/>
      <c r="B151" s="664"/>
      <c r="C151" s="664"/>
      <c r="D151" s="664"/>
      <c r="E151" s="665"/>
      <c r="F151" s="182" t="s">
        <v>37</v>
      </c>
      <c r="G151" s="183" t="s">
        <v>26</v>
      </c>
      <c r="H151" s="182" t="s">
        <v>37</v>
      </c>
      <c r="I151" s="183" t="s">
        <v>26</v>
      </c>
      <c r="J151" s="182" t="s">
        <v>37</v>
      </c>
      <c r="K151" s="183" t="s">
        <v>26</v>
      </c>
      <c r="L151" s="182" t="s">
        <v>37</v>
      </c>
      <c r="M151" s="183" t="s">
        <v>26</v>
      </c>
      <c r="N151" s="277" t="s">
        <v>36</v>
      </c>
      <c r="O151" s="337" t="s">
        <v>88</v>
      </c>
      <c r="Q151" s="229"/>
      <c r="R151" s="461"/>
    </row>
    <row r="152" spans="1:18" ht="15.75" customHeight="1" thickTop="1">
      <c r="A152" s="750" t="s">
        <v>519</v>
      </c>
      <c r="B152" s="751"/>
      <c r="C152" s="751"/>
      <c r="D152" s="751"/>
      <c r="E152" s="752"/>
      <c r="F152" s="160">
        <f>CEILING(N152*1.7,1)</f>
        <v>41</v>
      </c>
      <c r="G152" s="47">
        <f>CEILING(F152*O152,10)</f>
        <v>820</v>
      </c>
      <c r="H152" s="46">
        <f>CEILING(N152*1.6,1)</f>
        <v>38</v>
      </c>
      <c r="I152" s="47">
        <f>CEILING(H152*O152,10)</f>
        <v>760</v>
      </c>
      <c r="J152" s="46">
        <f>CEILING(N152*1.5,0.5)</f>
        <v>36</v>
      </c>
      <c r="K152" s="47">
        <f>CEILING(J152*O152,10)</f>
        <v>720</v>
      </c>
      <c r="L152" s="46">
        <f>CEILING(N152*1.4,0.5)</f>
        <v>33.5</v>
      </c>
      <c r="M152" s="47">
        <f>CEILING(L152*O152,10)</f>
        <v>670</v>
      </c>
      <c r="N152" s="278">
        <v>23.72</v>
      </c>
      <c r="O152" s="332">
        <v>20</v>
      </c>
      <c r="Q152" s="245"/>
      <c r="R152" s="487"/>
    </row>
    <row r="153" spans="1:18" ht="15.75" customHeight="1">
      <c r="A153" s="706" t="s">
        <v>518</v>
      </c>
      <c r="B153" s="707"/>
      <c r="C153" s="707"/>
      <c r="D153" s="707" t="s">
        <v>30</v>
      </c>
      <c r="E153" s="708" t="s">
        <v>31</v>
      </c>
      <c r="F153" s="48">
        <f>CEILING(N153*1.7,1)</f>
        <v>41</v>
      </c>
      <c r="G153" s="49">
        <f>CEILING(F153*O153,10)</f>
        <v>1230</v>
      </c>
      <c r="H153" s="48">
        <f>CEILING(N153*1.6,1)</f>
        <v>38</v>
      </c>
      <c r="I153" s="49">
        <f>CEILING(H153*O153,10)</f>
        <v>1140</v>
      </c>
      <c r="J153" s="48">
        <f>CEILING(N153*1.5,0.5)</f>
        <v>36</v>
      </c>
      <c r="K153" s="49">
        <f>CEILING(J153*O153,10)</f>
        <v>1080</v>
      </c>
      <c r="L153" s="48">
        <f>CEILING(N153*1.4,0.5)</f>
        <v>33.5</v>
      </c>
      <c r="M153" s="49">
        <f>CEILING(L153*O153,10)</f>
        <v>1010</v>
      </c>
      <c r="N153" s="278">
        <v>23.72</v>
      </c>
      <c r="O153" s="332">
        <v>30</v>
      </c>
      <c r="Q153" s="246"/>
      <c r="R153" s="488"/>
    </row>
    <row r="154" spans="1:18" ht="15.75" customHeight="1" thickBot="1">
      <c r="A154" s="753" t="s">
        <v>520</v>
      </c>
      <c r="B154" s="754"/>
      <c r="C154" s="754"/>
      <c r="D154" s="754" t="s">
        <v>30</v>
      </c>
      <c r="E154" s="755" t="s">
        <v>31</v>
      </c>
      <c r="F154" s="50">
        <f>CEILING(N154*1.7,1)</f>
        <v>41</v>
      </c>
      <c r="G154" s="51">
        <f>CEILING(F154*O154,10)</f>
        <v>1640</v>
      </c>
      <c r="H154" s="50">
        <f>CEILING(N154*1.6,1)</f>
        <v>38</v>
      </c>
      <c r="I154" s="51">
        <f>CEILING(H154*O154,10)</f>
        <v>1520</v>
      </c>
      <c r="J154" s="50">
        <f>CEILING(N154*1.5,0.5)</f>
        <v>36</v>
      </c>
      <c r="K154" s="51">
        <f>CEILING(J154*O154,10)</f>
        <v>1440</v>
      </c>
      <c r="L154" s="50">
        <f>CEILING(N154*1.4,0.5)</f>
        <v>33.5</v>
      </c>
      <c r="M154" s="51">
        <f>CEILING(L154*O154,10)</f>
        <v>1340</v>
      </c>
      <c r="N154" s="278">
        <v>23.72</v>
      </c>
      <c r="O154" s="332">
        <v>40</v>
      </c>
      <c r="Q154" s="246"/>
      <c r="R154" s="488"/>
    </row>
    <row r="155" spans="1:18" ht="39.75" customHeight="1" thickTop="1">
      <c r="A155" s="659" t="s">
        <v>661</v>
      </c>
      <c r="B155" s="659"/>
      <c r="C155" s="659"/>
      <c r="D155" s="659"/>
      <c r="E155" s="659"/>
      <c r="F155" s="659"/>
      <c r="G155" s="659"/>
      <c r="H155" s="659"/>
      <c r="I155" s="659"/>
      <c r="J155" s="659"/>
      <c r="K155" s="659"/>
      <c r="L155" s="659"/>
      <c r="M155" s="659"/>
      <c r="Q155" s="225"/>
      <c r="R155" s="225"/>
    </row>
    <row r="156" spans="1:18" ht="15.75" customHeight="1">
      <c r="A156" s="660" t="s">
        <v>96</v>
      </c>
      <c r="B156" s="661"/>
      <c r="C156" s="661"/>
      <c r="D156" s="661"/>
      <c r="E156" s="662"/>
      <c r="F156" s="666" t="s">
        <v>48</v>
      </c>
      <c r="G156" s="667"/>
      <c r="H156" s="666" t="s">
        <v>45</v>
      </c>
      <c r="I156" s="667"/>
      <c r="J156" s="666" t="s">
        <v>46</v>
      </c>
      <c r="K156" s="667"/>
      <c r="L156" s="666" t="s">
        <v>47</v>
      </c>
      <c r="M156" s="667"/>
      <c r="Q156" s="676"/>
      <c r="R156" s="677"/>
    </row>
    <row r="157" spans="1:18" ht="15.75" customHeight="1" thickBot="1">
      <c r="A157" s="663"/>
      <c r="B157" s="664"/>
      <c r="C157" s="664"/>
      <c r="D157" s="664"/>
      <c r="E157" s="665"/>
      <c r="F157" s="182" t="s">
        <v>37</v>
      </c>
      <c r="G157" s="183" t="s">
        <v>26</v>
      </c>
      <c r="H157" s="182" t="s">
        <v>37</v>
      </c>
      <c r="I157" s="183" t="s">
        <v>26</v>
      </c>
      <c r="J157" s="182" t="s">
        <v>37</v>
      </c>
      <c r="K157" s="183" t="s">
        <v>26</v>
      </c>
      <c r="L157" s="182" t="s">
        <v>37</v>
      </c>
      <c r="M157" s="183" t="s">
        <v>26</v>
      </c>
      <c r="N157" s="277" t="s">
        <v>36</v>
      </c>
      <c r="O157" s="337" t="s">
        <v>88</v>
      </c>
      <c r="Q157" s="229"/>
      <c r="R157" s="461"/>
    </row>
    <row r="158" spans="1:18" ht="15.75" customHeight="1" hidden="1" thickTop="1">
      <c r="A158" s="750" t="s">
        <v>244</v>
      </c>
      <c r="B158" s="751"/>
      <c r="C158" s="751"/>
      <c r="D158" s="751"/>
      <c r="E158" s="752"/>
      <c r="F158" s="46">
        <f>N158*1.3</f>
        <v>23.400000000000002</v>
      </c>
      <c r="G158" s="47">
        <f>CEILING(F158*O158,10)</f>
        <v>880</v>
      </c>
      <c r="H158" s="46">
        <f>N158*1.25</f>
        <v>22.5</v>
      </c>
      <c r="I158" s="47">
        <f>CEILING(H158*O158,10)</f>
        <v>850</v>
      </c>
      <c r="J158" s="46">
        <f>N158*1.2</f>
        <v>21.599999999999998</v>
      </c>
      <c r="K158" s="47">
        <f>CEILING(J158*O158,10)</f>
        <v>810</v>
      </c>
      <c r="L158" s="46">
        <f>N158*1.15</f>
        <v>20.7</v>
      </c>
      <c r="M158" s="47">
        <f>CEILING(L158*O158,10)</f>
        <v>780</v>
      </c>
      <c r="N158" s="278">
        <v>18</v>
      </c>
      <c r="O158" s="332">
        <v>37.5</v>
      </c>
      <c r="Q158" s="247"/>
      <c r="R158" s="489"/>
    </row>
    <row r="159" spans="1:18" ht="15.75" customHeight="1" thickTop="1">
      <c r="A159" s="706" t="s">
        <v>567</v>
      </c>
      <c r="B159" s="707"/>
      <c r="C159" s="707"/>
      <c r="D159" s="707"/>
      <c r="E159" s="708"/>
      <c r="F159" s="48">
        <f>N159*1.35</f>
        <v>42.660000000000004</v>
      </c>
      <c r="G159" s="49">
        <f>CEILING(F159*O159,10)</f>
        <v>3200</v>
      </c>
      <c r="H159" s="48">
        <f>N159*1.3</f>
        <v>41.080000000000005</v>
      </c>
      <c r="I159" s="49">
        <f>CEILING(H159*O159,10)</f>
        <v>3090</v>
      </c>
      <c r="J159" s="48">
        <f>N159*1.25</f>
        <v>39.5</v>
      </c>
      <c r="K159" s="49">
        <f>CEILING(J159*O159,10)</f>
        <v>2970</v>
      </c>
      <c r="L159" s="48">
        <f>N159*1.2</f>
        <v>37.92</v>
      </c>
      <c r="M159" s="49">
        <f>CEILING(L159*O159,10)</f>
        <v>2850</v>
      </c>
      <c r="N159" s="278">
        <v>31.6</v>
      </c>
      <c r="O159" s="332">
        <v>75</v>
      </c>
      <c r="Q159" s="246"/>
      <c r="R159" s="488"/>
    </row>
    <row r="160" spans="1:18" ht="15.75" customHeight="1" hidden="1">
      <c r="A160" s="706" t="s">
        <v>245</v>
      </c>
      <c r="B160" s="707"/>
      <c r="C160" s="707"/>
      <c r="D160" s="707"/>
      <c r="E160" s="708">
        <v>75</v>
      </c>
      <c r="F160" s="48">
        <f aca="true" t="shared" si="38" ref="F160:F166">N160*1.35</f>
        <v>35.1</v>
      </c>
      <c r="G160" s="49">
        <f aca="true" t="shared" si="39" ref="G160:G166">CEILING(F160*O160,10)</f>
        <v>3950</v>
      </c>
      <c r="H160" s="48">
        <f aca="true" t="shared" si="40" ref="H160:H166">N160*1.3</f>
        <v>33.800000000000004</v>
      </c>
      <c r="I160" s="49">
        <f aca="true" t="shared" si="41" ref="I160:I166">CEILING(H160*O160,10)</f>
        <v>3810</v>
      </c>
      <c r="J160" s="48">
        <f aca="true" t="shared" si="42" ref="J160:J166">N160*1.25</f>
        <v>32.5</v>
      </c>
      <c r="K160" s="49">
        <f aca="true" t="shared" si="43" ref="K160:K166">CEILING(J160*O160,10)</f>
        <v>3660</v>
      </c>
      <c r="L160" s="48">
        <f aca="true" t="shared" si="44" ref="L160:L166">N160*1.2</f>
        <v>31.2</v>
      </c>
      <c r="M160" s="49">
        <f aca="true" t="shared" si="45" ref="M160:M166">CEILING(L160*O160,10)</f>
        <v>3510</v>
      </c>
      <c r="N160" s="278">
        <v>26</v>
      </c>
      <c r="O160" s="332">
        <v>112.5</v>
      </c>
      <c r="Q160" s="246"/>
      <c r="R160" s="488"/>
    </row>
    <row r="161" spans="1:18" ht="15.75" customHeight="1">
      <c r="A161" s="826" t="s">
        <v>568</v>
      </c>
      <c r="B161" s="827"/>
      <c r="C161" s="827"/>
      <c r="D161" s="827"/>
      <c r="E161" s="828">
        <v>100</v>
      </c>
      <c r="F161" s="48">
        <f t="shared" si="38"/>
        <v>42.660000000000004</v>
      </c>
      <c r="G161" s="63">
        <f t="shared" si="39"/>
        <v>3200</v>
      </c>
      <c r="H161" s="48">
        <f t="shared" si="40"/>
        <v>41.080000000000005</v>
      </c>
      <c r="I161" s="63">
        <f t="shared" si="41"/>
        <v>3090</v>
      </c>
      <c r="J161" s="48">
        <f t="shared" si="42"/>
        <v>39.5</v>
      </c>
      <c r="K161" s="63">
        <f t="shared" si="43"/>
        <v>2970</v>
      </c>
      <c r="L161" s="48">
        <f t="shared" si="44"/>
        <v>37.92</v>
      </c>
      <c r="M161" s="63">
        <f t="shared" si="45"/>
        <v>2850</v>
      </c>
      <c r="N161" s="278">
        <v>31.6</v>
      </c>
      <c r="O161" s="332">
        <v>75</v>
      </c>
      <c r="Q161" s="233"/>
      <c r="R161" s="490"/>
    </row>
    <row r="162" spans="1:18" ht="15.75" customHeight="1" hidden="1">
      <c r="A162" s="792" t="s">
        <v>246</v>
      </c>
      <c r="B162" s="793"/>
      <c r="C162" s="793"/>
      <c r="D162" s="793"/>
      <c r="E162" s="794">
        <v>25</v>
      </c>
      <c r="F162" s="638">
        <f t="shared" si="38"/>
        <v>31.05</v>
      </c>
      <c r="G162" s="53">
        <f t="shared" si="39"/>
        <v>1170</v>
      </c>
      <c r="H162" s="638">
        <f t="shared" si="40"/>
        <v>29.900000000000002</v>
      </c>
      <c r="I162" s="53">
        <f t="shared" si="41"/>
        <v>1130</v>
      </c>
      <c r="J162" s="638">
        <f t="shared" si="42"/>
        <v>28.75</v>
      </c>
      <c r="K162" s="53">
        <f t="shared" si="43"/>
        <v>1080</v>
      </c>
      <c r="L162" s="638">
        <f t="shared" si="44"/>
        <v>27.599999999999998</v>
      </c>
      <c r="M162" s="53">
        <f t="shared" si="45"/>
        <v>1040</v>
      </c>
      <c r="N162" s="278">
        <v>23</v>
      </c>
      <c r="O162" s="332">
        <v>37.5</v>
      </c>
      <c r="Q162" s="235"/>
      <c r="R162" s="474"/>
    </row>
    <row r="163" spans="1:18" ht="15.75" customHeight="1">
      <c r="A163" s="706" t="s">
        <v>569</v>
      </c>
      <c r="B163" s="707"/>
      <c r="C163" s="707"/>
      <c r="D163" s="707"/>
      <c r="E163" s="708">
        <v>50</v>
      </c>
      <c r="F163" s="67">
        <f t="shared" si="38"/>
        <v>47.25</v>
      </c>
      <c r="G163" s="49">
        <f t="shared" si="39"/>
        <v>3550</v>
      </c>
      <c r="H163" s="67">
        <f t="shared" si="40"/>
        <v>45.5</v>
      </c>
      <c r="I163" s="49">
        <f t="shared" si="41"/>
        <v>3420</v>
      </c>
      <c r="J163" s="67">
        <f t="shared" si="42"/>
        <v>43.75</v>
      </c>
      <c r="K163" s="49">
        <f t="shared" si="43"/>
        <v>3290</v>
      </c>
      <c r="L163" s="67">
        <f t="shared" si="44"/>
        <v>42</v>
      </c>
      <c r="M163" s="49">
        <f t="shared" si="45"/>
        <v>3150</v>
      </c>
      <c r="N163" s="278">
        <v>35</v>
      </c>
      <c r="O163" s="332">
        <v>75</v>
      </c>
      <c r="Q163" s="246"/>
      <c r="R163" s="488"/>
    </row>
    <row r="164" spans="1:18" ht="15.75" customHeight="1" hidden="1">
      <c r="A164" s="706" t="s">
        <v>247</v>
      </c>
      <c r="B164" s="707"/>
      <c r="C164" s="707"/>
      <c r="D164" s="707"/>
      <c r="E164" s="708">
        <v>75</v>
      </c>
      <c r="F164" s="48">
        <f t="shared" si="38"/>
        <v>43.33500000000001</v>
      </c>
      <c r="G164" s="49">
        <f t="shared" si="39"/>
        <v>4880</v>
      </c>
      <c r="H164" s="48">
        <f t="shared" si="40"/>
        <v>41.730000000000004</v>
      </c>
      <c r="I164" s="49">
        <f t="shared" si="41"/>
        <v>4700</v>
      </c>
      <c r="J164" s="48">
        <f t="shared" si="42"/>
        <v>40.125</v>
      </c>
      <c r="K164" s="49">
        <f t="shared" si="43"/>
        <v>4520</v>
      </c>
      <c r="L164" s="48">
        <f t="shared" si="44"/>
        <v>38.52</v>
      </c>
      <c r="M164" s="49">
        <f t="shared" si="45"/>
        <v>4340</v>
      </c>
      <c r="N164" s="278">
        <v>32.1</v>
      </c>
      <c r="O164" s="332">
        <v>112.5</v>
      </c>
      <c r="Q164" s="246"/>
      <c r="R164" s="488"/>
    </row>
    <row r="165" spans="1:18" ht="15.75" customHeight="1" hidden="1">
      <c r="A165" s="792" t="s">
        <v>248</v>
      </c>
      <c r="B165" s="793"/>
      <c r="C165" s="793"/>
      <c r="D165" s="793"/>
      <c r="E165" s="794">
        <v>25</v>
      </c>
      <c r="F165" s="48">
        <f t="shared" si="38"/>
        <v>43.33500000000001</v>
      </c>
      <c r="G165" s="53">
        <f t="shared" si="39"/>
        <v>1630</v>
      </c>
      <c r="H165" s="48">
        <f t="shared" si="40"/>
        <v>41.730000000000004</v>
      </c>
      <c r="I165" s="53">
        <f t="shared" si="41"/>
        <v>1570</v>
      </c>
      <c r="J165" s="48">
        <f t="shared" si="42"/>
        <v>40.125</v>
      </c>
      <c r="K165" s="53">
        <f t="shared" si="43"/>
        <v>1510</v>
      </c>
      <c r="L165" s="48">
        <f t="shared" si="44"/>
        <v>38.52</v>
      </c>
      <c r="M165" s="53">
        <f t="shared" si="45"/>
        <v>1450</v>
      </c>
      <c r="N165" s="278">
        <v>32.1</v>
      </c>
      <c r="O165" s="332">
        <v>37.5</v>
      </c>
      <c r="Q165" s="235"/>
      <c r="R165" s="474"/>
    </row>
    <row r="166" spans="1:18" ht="15.75" customHeight="1" thickBot="1">
      <c r="A166" s="753" t="s">
        <v>570</v>
      </c>
      <c r="B166" s="754"/>
      <c r="C166" s="754"/>
      <c r="D166" s="754"/>
      <c r="E166" s="755">
        <v>50</v>
      </c>
      <c r="F166" s="50">
        <f t="shared" si="38"/>
        <v>47.25</v>
      </c>
      <c r="G166" s="51">
        <f t="shared" si="39"/>
        <v>3550</v>
      </c>
      <c r="H166" s="50">
        <f t="shared" si="40"/>
        <v>45.5</v>
      </c>
      <c r="I166" s="51">
        <f t="shared" si="41"/>
        <v>3420</v>
      </c>
      <c r="J166" s="50">
        <f t="shared" si="42"/>
        <v>43.75</v>
      </c>
      <c r="K166" s="51">
        <f t="shared" si="43"/>
        <v>3290</v>
      </c>
      <c r="L166" s="50">
        <f t="shared" si="44"/>
        <v>42</v>
      </c>
      <c r="M166" s="51">
        <f t="shared" si="45"/>
        <v>3150</v>
      </c>
      <c r="N166" s="278">
        <v>35</v>
      </c>
      <c r="O166" s="332">
        <v>75</v>
      </c>
      <c r="Q166" s="236"/>
      <c r="R166" s="475"/>
    </row>
    <row r="167" spans="1:18" ht="39.75" customHeight="1" thickTop="1">
      <c r="A167" s="659" t="s">
        <v>663</v>
      </c>
      <c r="B167" s="659"/>
      <c r="C167" s="659"/>
      <c r="D167" s="659"/>
      <c r="E167" s="659"/>
      <c r="F167" s="659"/>
      <c r="G167" s="659"/>
      <c r="H167" s="659"/>
      <c r="I167" s="659"/>
      <c r="J167" s="659"/>
      <c r="K167" s="659"/>
      <c r="L167" s="659"/>
      <c r="M167" s="659"/>
      <c r="Q167" s="225"/>
      <c r="R167" s="225"/>
    </row>
    <row r="168" spans="1:18" s="502" customFormat="1" ht="15.75" customHeight="1">
      <c r="A168" s="670" t="s">
        <v>96</v>
      </c>
      <c r="B168" s="671"/>
      <c r="C168" s="671"/>
      <c r="D168" s="671"/>
      <c r="E168" s="672"/>
      <c r="F168" s="701" t="s">
        <v>48</v>
      </c>
      <c r="G168" s="702"/>
      <c r="H168" s="701" t="s">
        <v>45</v>
      </c>
      <c r="I168" s="702"/>
      <c r="J168" s="701" t="s">
        <v>46</v>
      </c>
      <c r="K168" s="702"/>
      <c r="L168" s="701" t="s">
        <v>47</v>
      </c>
      <c r="M168" s="702"/>
      <c r="N168" s="275" t="s">
        <v>16</v>
      </c>
      <c r="O168" s="333"/>
      <c r="P168" s="275"/>
      <c r="Q168" s="758"/>
      <c r="R168" s="759"/>
    </row>
    <row r="169" spans="1:18" ht="15.75" customHeight="1" thickBot="1">
      <c r="A169" s="663"/>
      <c r="B169" s="664"/>
      <c r="C169" s="664"/>
      <c r="D169" s="664"/>
      <c r="E169" s="665"/>
      <c r="F169" s="182" t="s">
        <v>37</v>
      </c>
      <c r="G169" s="183" t="s">
        <v>26</v>
      </c>
      <c r="H169" s="182" t="s">
        <v>37</v>
      </c>
      <c r="I169" s="183" t="s">
        <v>26</v>
      </c>
      <c r="J169" s="182" t="s">
        <v>37</v>
      </c>
      <c r="K169" s="183" t="s">
        <v>26</v>
      </c>
      <c r="L169" s="182" t="s">
        <v>37</v>
      </c>
      <c r="M169" s="183" t="s">
        <v>26</v>
      </c>
      <c r="N169" s="379" t="s">
        <v>515</v>
      </c>
      <c r="O169" s="380" t="s">
        <v>65</v>
      </c>
      <c r="Q169" s="229"/>
      <c r="R169" s="461"/>
    </row>
    <row r="170" spans="1:18" ht="15" customHeight="1" hidden="1" thickTop="1">
      <c r="A170" s="808" t="s">
        <v>362</v>
      </c>
      <c r="B170" s="809"/>
      <c r="C170" s="809"/>
      <c r="D170" s="809"/>
      <c r="E170" s="810"/>
      <c r="F170" s="208">
        <f>G170/O170</f>
        <v>11.142857142857142</v>
      </c>
      <c r="G170" s="53">
        <f>CEILING(N170*1.5,10)</f>
        <v>780</v>
      </c>
      <c r="H170" s="209">
        <f>I170/O170</f>
        <v>10.357142857142858</v>
      </c>
      <c r="I170" s="53">
        <f>CEILING(N170*1.4,5)</f>
        <v>725</v>
      </c>
      <c r="J170" s="209">
        <f>K170/O170</f>
        <v>9.557142857142857</v>
      </c>
      <c r="K170" s="53">
        <f>CEILING(N170*1.3,1)</f>
        <v>669</v>
      </c>
      <c r="L170" s="210">
        <f>M170/O170</f>
        <v>8.821428571428571</v>
      </c>
      <c r="M170" s="53">
        <f>CEILING(N170*1.2,0.5)</f>
        <v>617.5</v>
      </c>
      <c r="N170" s="279">
        <v>514.5</v>
      </c>
      <c r="O170" s="339">
        <v>70</v>
      </c>
      <c r="Q170" s="248"/>
      <c r="R170" s="474"/>
    </row>
    <row r="171" spans="1:18" ht="15" customHeight="1" hidden="1">
      <c r="A171" s="709" t="s">
        <v>363</v>
      </c>
      <c r="B171" s="710"/>
      <c r="C171" s="710"/>
      <c r="D171" s="710"/>
      <c r="E171" s="711"/>
      <c r="F171" s="48">
        <f>G171/O171</f>
        <v>15</v>
      </c>
      <c r="G171" s="53">
        <f>CEILING(N171*1.5,10)</f>
        <v>1050</v>
      </c>
      <c r="H171" s="52">
        <f>I171/O171</f>
        <v>14</v>
      </c>
      <c r="I171" s="53">
        <f>CEILING(N171*1.4,5)</f>
        <v>980</v>
      </c>
      <c r="J171" s="52">
        <f>K171/O171</f>
        <v>13</v>
      </c>
      <c r="K171" s="53">
        <f>CEILING(N171*1.3,1)</f>
        <v>910</v>
      </c>
      <c r="L171" s="52">
        <f>M171/O171</f>
        <v>12</v>
      </c>
      <c r="M171" s="53">
        <f>CEILING(N171*1.2,0.5)</f>
        <v>840</v>
      </c>
      <c r="N171" s="279">
        <v>700</v>
      </c>
      <c r="O171" s="339">
        <v>70</v>
      </c>
      <c r="Q171" s="246"/>
      <c r="R171" s="474"/>
    </row>
    <row r="172" spans="1:18" ht="15" customHeight="1" hidden="1">
      <c r="A172" s="811" t="s">
        <v>364</v>
      </c>
      <c r="B172" s="812"/>
      <c r="C172" s="812"/>
      <c r="D172" s="812"/>
      <c r="E172" s="813"/>
      <c r="F172" s="64">
        <f>G172/O172</f>
        <v>33.06666666666667</v>
      </c>
      <c r="G172" s="63">
        <f>CEILING(N172*1.5,10)</f>
        <v>2480</v>
      </c>
      <c r="H172" s="64">
        <f>I172/O172</f>
        <v>30.8</v>
      </c>
      <c r="I172" s="63">
        <f>CEILING(N172*1.4,5)</f>
        <v>2310</v>
      </c>
      <c r="J172" s="64">
        <f>K172/O172</f>
        <v>28.6</v>
      </c>
      <c r="K172" s="63">
        <f>CEILING(N172*1.3,1)</f>
        <v>2145</v>
      </c>
      <c r="L172" s="64">
        <f>M172/O172</f>
        <v>26.4</v>
      </c>
      <c r="M172" s="63">
        <f>CEILING(N172*1.2,0.5)</f>
        <v>1980</v>
      </c>
      <c r="N172" s="279">
        <v>1650</v>
      </c>
      <c r="O172" s="339">
        <v>75</v>
      </c>
      <c r="Q172" s="233"/>
      <c r="R172" s="490"/>
    </row>
    <row r="173" spans="1:18" ht="15" customHeight="1" thickTop="1">
      <c r="A173" s="530" t="s">
        <v>506</v>
      </c>
      <c r="B173" s="375"/>
      <c r="C173" s="518" t="s">
        <v>593</v>
      </c>
      <c r="D173" s="376"/>
      <c r="E173" s="377"/>
      <c r="F173" s="52">
        <f>CEILING(N173*1.5,0.1)</f>
        <v>14.4</v>
      </c>
      <c r="G173" s="53">
        <f>CEILING(O173*1.5,10)</f>
        <v>870</v>
      </c>
      <c r="H173" s="52">
        <f>CEILING(N173*1.4,0.1)</f>
        <v>13.5</v>
      </c>
      <c r="I173" s="53">
        <f aca="true" t="shared" si="46" ref="I173:I181">CEILING(O173*1.4,5)</f>
        <v>810</v>
      </c>
      <c r="J173" s="52">
        <f>CEILING(N173*1.3,0.1)</f>
        <v>12.5</v>
      </c>
      <c r="K173" s="53">
        <f>CEILING(O173*1.3,5)</f>
        <v>750</v>
      </c>
      <c r="L173" s="52">
        <f>CEILING(N173*1.2,0.1)</f>
        <v>11.600000000000001</v>
      </c>
      <c r="M173" s="53">
        <f>CEILING(O173*1.2,5)</f>
        <v>695</v>
      </c>
      <c r="N173" s="381">
        <f>O173/P173</f>
        <v>9.6</v>
      </c>
      <c r="O173" s="381">
        <v>576</v>
      </c>
      <c r="P173" s="339">
        <v>60</v>
      </c>
      <c r="Q173" s="235"/>
      <c r="R173" s="474"/>
    </row>
    <row r="174" spans="1:18" ht="15" customHeight="1">
      <c r="A174" s="531"/>
      <c r="B174" s="373"/>
      <c r="C174" s="517" t="s">
        <v>517</v>
      </c>
      <c r="D174" s="378"/>
      <c r="E174" s="374"/>
      <c r="F174" s="52">
        <f aca="true" t="shared" si="47" ref="F174:F181">CEILING(N174*1.5,0.1)</f>
        <v>38.300000000000004</v>
      </c>
      <c r="G174" s="53">
        <f aca="true" t="shared" si="48" ref="G174:G181">CEILING(O174*1.5,10)</f>
        <v>2870</v>
      </c>
      <c r="H174" s="52">
        <f aca="true" t="shared" si="49" ref="H174:H181">CEILING(N174*1.4,0.5)</f>
        <v>36</v>
      </c>
      <c r="I174" s="53">
        <f t="shared" si="46"/>
        <v>2680</v>
      </c>
      <c r="J174" s="52">
        <f aca="true" t="shared" si="50" ref="J174:J181">CEILING(N174*1.3,0.1)</f>
        <v>33.2</v>
      </c>
      <c r="K174" s="53">
        <f aca="true" t="shared" si="51" ref="K174:K181">CEILING(O174*1.3,5)</f>
        <v>2490</v>
      </c>
      <c r="L174" s="52">
        <f aca="true" t="shared" si="52" ref="L174:L181">CEILING(N174*1.2,0.1)</f>
        <v>30.6</v>
      </c>
      <c r="M174" s="53">
        <f aca="true" t="shared" si="53" ref="M174:M181">CEILING(O174*1.2,5)</f>
        <v>2295</v>
      </c>
      <c r="N174" s="381">
        <f aca="true" t="shared" si="54" ref="N174:N181">O174/P174</f>
        <v>25.5</v>
      </c>
      <c r="O174" s="279">
        <v>1912.5</v>
      </c>
      <c r="P174" s="339">
        <v>75</v>
      </c>
      <c r="Q174" s="246"/>
      <c r="R174" s="474"/>
    </row>
    <row r="175" spans="1:18" ht="15" customHeight="1">
      <c r="A175" s="532"/>
      <c r="B175" s="385"/>
      <c r="C175" s="516" t="s">
        <v>510</v>
      </c>
      <c r="D175" s="385"/>
      <c r="E175" s="386"/>
      <c r="F175" s="64">
        <f t="shared" si="47"/>
        <v>16.8</v>
      </c>
      <c r="G175" s="63">
        <f t="shared" si="48"/>
        <v>1010</v>
      </c>
      <c r="H175" s="64">
        <f t="shared" si="49"/>
        <v>16</v>
      </c>
      <c r="I175" s="63">
        <f t="shared" si="46"/>
        <v>945</v>
      </c>
      <c r="J175" s="64">
        <f t="shared" si="50"/>
        <v>14.600000000000001</v>
      </c>
      <c r="K175" s="63">
        <f t="shared" si="51"/>
        <v>875</v>
      </c>
      <c r="L175" s="64">
        <f t="shared" si="52"/>
        <v>13.5</v>
      </c>
      <c r="M175" s="63">
        <f t="shared" si="53"/>
        <v>810</v>
      </c>
      <c r="N175" s="381">
        <f t="shared" si="54"/>
        <v>11.2</v>
      </c>
      <c r="O175" s="279">
        <v>672</v>
      </c>
      <c r="P175" s="339">
        <v>60</v>
      </c>
      <c r="Q175" s="246"/>
      <c r="R175" s="474"/>
    </row>
    <row r="176" spans="1:18" ht="15" customHeight="1">
      <c r="A176" s="533" t="s">
        <v>507</v>
      </c>
      <c r="B176" s="382"/>
      <c r="C176" s="515" t="s">
        <v>508</v>
      </c>
      <c r="D176" s="383"/>
      <c r="E176" s="384"/>
      <c r="F176" s="52">
        <f t="shared" si="47"/>
        <v>11.9</v>
      </c>
      <c r="G176" s="53">
        <f t="shared" si="48"/>
        <v>720</v>
      </c>
      <c r="H176" s="52">
        <f t="shared" si="49"/>
        <v>11.5</v>
      </c>
      <c r="I176" s="53">
        <f t="shared" si="46"/>
        <v>665</v>
      </c>
      <c r="J176" s="52">
        <f t="shared" si="50"/>
        <v>10.3</v>
      </c>
      <c r="K176" s="53">
        <f t="shared" si="51"/>
        <v>620</v>
      </c>
      <c r="L176" s="52">
        <f t="shared" si="52"/>
        <v>9.5</v>
      </c>
      <c r="M176" s="53">
        <f t="shared" si="53"/>
        <v>570</v>
      </c>
      <c r="N176" s="381">
        <f t="shared" si="54"/>
        <v>7.9</v>
      </c>
      <c r="O176" s="279">
        <v>474</v>
      </c>
      <c r="P176" s="339">
        <v>60</v>
      </c>
      <c r="Q176" s="246"/>
      <c r="R176" s="474"/>
    </row>
    <row r="177" spans="1:18" ht="15" customHeight="1">
      <c r="A177" s="532"/>
      <c r="B177" s="385"/>
      <c r="C177" s="516" t="s">
        <v>509</v>
      </c>
      <c r="D177" s="385"/>
      <c r="E177" s="386"/>
      <c r="F177" s="64">
        <f t="shared" si="47"/>
        <v>15.8</v>
      </c>
      <c r="G177" s="63">
        <f t="shared" si="48"/>
        <v>950</v>
      </c>
      <c r="H177" s="64">
        <f t="shared" si="49"/>
        <v>15</v>
      </c>
      <c r="I177" s="63">
        <f t="shared" si="46"/>
        <v>885</v>
      </c>
      <c r="J177" s="64">
        <f t="shared" si="50"/>
        <v>13.700000000000001</v>
      </c>
      <c r="K177" s="63">
        <f t="shared" si="51"/>
        <v>820</v>
      </c>
      <c r="L177" s="64">
        <f t="shared" si="52"/>
        <v>12.600000000000001</v>
      </c>
      <c r="M177" s="63">
        <f t="shared" si="53"/>
        <v>760</v>
      </c>
      <c r="N177" s="381">
        <f t="shared" si="54"/>
        <v>10.5</v>
      </c>
      <c r="O177" s="279">
        <v>630</v>
      </c>
      <c r="P177" s="339">
        <v>60</v>
      </c>
      <c r="Q177" s="246"/>
      <c r="R177" s="474"/>
    </row>
    <row r="178" spans="1:18" ht="15" customHeight="1">
      <c r="A178" s="534" t="s">
        <v>511</v>
      </c>
      <c r="B178" s="387"/>
      <c r="C178" s="536" t="s">
        <v>512</v>
      </c>
      <c r="D178" s="388"/>
      <c r="E178" s="389"/>
      <c r="F178" s="66">
        <f t="shared" si="47"/>
        <v>18.2</v>
      </c>
      <c r="G178" s="390">
        <f t="shared" si="48"/>
        <v>1090</v>
      </c>
      <c r="H178" s="66">
        <f t="shared" si="49"/>
        <v>17</v>
      </c>
      <c r="I178" s="390">
        <f t="shared" si="46"/>
        <v>1020</v>
      </c>
      <c r="J178" s="66">
        <f t="shared" si="50"/>
        <v>15.8</v>
      </c>
      <c r="K178" s="390">
        <f t="shared" si="51"/>
        <v>945</v>
      </c>
      <c r="L178" s="66">
        <f t="shared" si="52"/>
        <v>14.600000000000001</v>
      </c>
      <c r="M178" s="390">
        <f t="shared" si="53"/>
        <v>875</v>
      </c>
      <c r="N178" s="381">
        <f t="shared" si="54"/>
        <v>12.1</v>
      </c>
      <c r="O178" s="279">
        <v>726</v>
      </c>
      <c r="P178" s="339">
        <v>60</v>
      </c>
      <c r="Q178" s="246"/>
      <c r="R178" s="474"/>
    </row>
    <row r="179" spans="1:18" ht="15" customHeight="1">
      <c r="A179" s="533" t="s">
        <v>513</v>
      </c>
      <c r="B179" s="382"/>
      <c r="C179" s="515" t="s">
        <v>557</v>
      </c>
      <c r="D179" s="382"/>
      <c r="E179" s="384"/>
      <c r="F179" s="52">
        <f t="shared" si="47"/>
        <v>66</v>
      </c>
      <c r="G179" s="53">
        <f t="shared" si="48"/>
        <v>5280</v>
      </c>
      <c r="H179" s="52">
        <f t="shared" si="49"/>
        <v>62</v>
      </c>
      <c r="I179" s="53">
        <f t="shared" si="46"/>
        <v>4930</v>
      </c>
      <c r="J179" s="52">
        <f t="shared" si="50"/>
        <v>57.2</v>
      </c>
      <c r="K179" s="53">
        <f t="shared" si="51"/>
        <v>4580</v>
      </c>
      <c r="L179" s="52">
        <f t="shared" si="52"/>
        <v>52.800000000000004</v>
      </c>
      <c r="M179" s="53">
        <f t="shared" si="53"/>
        <v>4225</v>
      </c>
      <c r="N179" s="381">
        <f t="shared" si="54"/>
        <v>44</v>
      </c>
      <c r="O179" s="279">
        <v>3520</v>
      </c>
      <c r="P179" s="339">
        <v>80</v>
      </c>
      <c r="Q179" s="246"/>
      <c r="R179" s="474"/>
    </row>
    <row r="180" spans="1:18" ht="15" customHeight="1">
      <c r="A180" s="532"/>
      <c r="B180" s="385"/>
      <c r="C180" s="516" t="s">
        <v>558</v>
      </c>
      <c r="D180" s="393"/>
      <c r="E180" s="386"/>
      <c r="F180" s="64">
        <f t="shared" si="47"/>
        <v>72</v>
      </c>
      <c r="G180" s="63">
        <f t="shared" si="48"/>
        <v>5760</v>
      </c>
      <c r="H180" s="64">
        <f t="shared" si="49"/>
        <v>67.5</v>
      </c>
      <c r="I180" s="63">
        <f t="shared" si="46"/>
        <v>5380</v>
      </c>
      <c r="J180" s="64">
        <f t="shared" si="50"/>
        <v>62.400000000000006</v>
      </c>
      <c r="K180" s="63">
        <f t="shared" si="51"/>
        <v>4995</v>
      </c>
      <c r="L180" s="64">
        <f t="shared" si="52"/>
        <v>57.6</v>
      </c>
      <c r="M180" s="63">
        <f t="shared" si="53"/>
        <v>4610</v>
      </c>
      <c r="N180" s="381">
        <f t="shared" si="54"/>
        <v>48</v>
      </c>
      <c r="O180" s="279">
        <v>3840</v>
      </c>
      <c r="P180" s="339">
        <v>80</v>
      </c>
      <c r="Q180" s="246"/>
      <c r="R180" s="474"/>
    </row>
    <row r="181" spans="1:18" ht="15" customHeight="1" thickBot="1">
      <c r="A181" s="535" t="s">
        <v>514</v>
      </c>
      <c r="B181" s="391"/>
      <c r="C181" s="537" t="s">
        <v>556</v>
      </c>
      <c r="D181" s="391"/>
      <c r="E181" s="392"/>
      <c r="F181" s="298">
        <f t="shared" si="47"/>
        <v>135</v>
      </c>
      <c r="G181" s="299">
        <f t="shared" si="48"/>
        <v>10130</v>
      </c>
      <c r="H181" s="298">
        <f t="shared" si="49"/>
        <v>126</v>
      </c>
      <c r="I181" s="299">
        <f t="shared" si="46"/>
        <v>9450</v>
      </c>
      <c r="J181" s="298">
        <f t="shared" si="50"/>
        <v>117</v>
      </c>
      <c r="K181" s="299">
        <f t="shared" si="51"/>
        <v>8775</v>
      </c>
      <c r="L181" s="298">
        <f t="shared" si="52"/>
        <v>108</v>
      </c>
      <c r="M181" s="299">
        <f t="shared" si="53"/>
        <v>8100</v>
      </c>
      <c r="N181" s="381">
        <f t="shared" si="54"/>
        <v>90</v>
      </c>
      <c r="O181" s="279">
        <v>6750</v>
      </c>
      <c r="P181" s="339">
        <v>75</v>
      </c>
      <c r="Q181" s="246"/>
      <c r="R181" s="474"/>
    </row>
    <row r="182" spans="1:18" ht="39.75" customHeight="1" thickTop="1">
      <c r="A182" s="659" t="s">
        <v>664</v>
      </c>
      <c r="B182" s="659"/>
      <c r="C182" s="659"/>
      <c r="D182" s="659"/>
      <c r="E182" s="659"/>
      <c r="F182" s="659"/>
      <c r="G182" s="659"/>
      <c r="H182" s="659"/>
      <c r="I182" s="659"/>
      <c r="J182" s="659"/>
      <c r="K182" s="659"/>
      <c r="L182" s="659"/>
      <c r="M182" s="659"/>
      <c r="Q182" s="225"/>
      <c r="R182" s="225"/>
    </row>
    <row r="183" spans="1:18" ht="15.75" customHeight="1">
      <c r="A183" s="660" t="s">
        <v>96</v>
      </c>
      <c r="B183" s="661"/>
      <c r="C183" s="661"/>
      <c r="D183" s="661"/>
      <c r="E183" s="662"/>
      <c r="F183" s="666" t="s">
        <v>48</v>
      </c>
      <c r="G183" s="667"/>
      <c r="H183" s="666" t="s">
        <v>45</v>
      </c>
      <c r="I183" s="667"/>
      <c r="J183" s="666" t="s">
        <v>46</v>
      </c>
      <c r="K183" s="667"/>
      <c r="L183" s="666" t="s">
        <v>47</v>
      </c>
      <c r="M183" s="667"/>
      <c r="N183" s="273"/>
      <c r="Q183" s="676"/>
      <c r="R183" s="677"/>
    </row>
    <row r="184" spans="1:18" ht="15.75" customHeight="1" thickBot="1">
      <c r="A184" s="663"/>
      <c r="B184" s="664"/>
      <c r="C184" s="664"/>
      <c r="D184" s="664"/>
      <c r="E184" s="665"/>
      <c r="F184" s="182" t="s">
        <v>37</v>
      </c>
      <c r="G184" s="183" t="s">
        <v>41</v>
      </c>
      <c r="H184" s="182" t="s">
        <v>37</v>
      </c>
      <c r="I184" s="183" t="s">
        <v>41</v>
      </c>
      <c r="J184" s="182" t="s">
        <v>37</v>
      </c>
      <c r="K184" s="183" t="s">
        <v>41</v>
      </c>
      <c r="L184" s="182" t="s">
        <v>37</v>
      </c>
      <c r="M184" s="183" t="s">
        <v>41</v>
      </c>
      <c r="N184" s="273"/>
      <c r="Q184" s="316"/>
      <c r="R184" s="491"/>
    </row>
    <row r="185" spans="1:18" s="504" customFormat="1" ht="15.75" customHeight="1" thickTop="1">
      <c r="A185" s="913" t="s">
        <v>42</v>
      </c>
      <c r="B185" s="914"/>
      <c r="C185" s="914"/>
      <c r="D185" s="914"/>
      <c r="E185" s="914"/>
      <c r="F185" s="914"/>
      <c r="G185" s="914"/>
      <c r="H185" s="914"/>
      <c r="I185" s="914"/>
      <c r="J185" s="914"/>
      <c r="K185" s="914"/>
      <c r="L185" s="914"/>
      <c r="M185" s="915"/>
      <c r="N185" s="432">
        <v>38.1</v>
      </c>
      <c r="O185" s="332"/>
      <c r="P185" s="273"/>
      <c r="Q185" s="317"/>
      <c r="R185" s="492"/>
    </row>
    <row r="186" spans="1:18" ht="15">
      <c r="A186" s="792" t="s">
        <v>394</v>
      </c>
      <c r="B186" s="793"/>
      <c r="C186" s="793"/>
      <c r="D186" s="793"/>
      <c r="E186" s="794"/>
      <c r="F186" s="52">
        <f>CEILING(N186*1.4,0.5)</f>
        <v>53.5</v>
      </c>
      <c r="G186" s="53">
        <f>CEILING(F186*O186,5)</f>
        <v>325</v>
      </c>
      <c r="H186" s="52">
        <f>CEILING(N186*1.3,0.5)</f>
        <v>50</v>
      </c>
      <c r="I186" s="53">
        <f>CEILING(H186*O186,5)</f>
        <v>300</v>
      </c>
      <c r="J186" s="52">
        <f>CEILING(N186*1.2,0.5)</f>
        <v>46</v>
      </c>
      <c r="K186" s="53">
        <f>CEILING(J186*O186,5)</f>
        <v>280</v>
      </c>
      <c r="L186" s="52">
        <f>CEILING(N186*1.15,0.5)</f>
        <v>44</v>
      </c>
      <c r="M186" s="53">
        <f>CEILING(L186*O186,5)</f>
        <v>265</v>
      </c>
      <c r="N186" s="273">
        <f>N185</f>
        <v>38.1</v>
      </c>
      <c r="O186" s="332">
        <v>6</v>
      </c>
      <c r="Q186" s="235"/>
      <c r="R186" s="474"/>
    </row>
    <row r="187" spans="1:18" ht="15">
      <c r="A187" s="706" t="s">
        <v>395</v>
      </c>
      <c r="B187" s="707"/>
      <c r="C187" s="707"/>
      <c r="D187" s="707"/>
      <c r="E187" s="708"/>
      <c r="F187" s="52">
        <f>CEILING(N187*1.4,0.5)</f>
        <v>53.5</v>
      </c>
      <c r="G187" s="53">
        <f aca="true" t="shared" si="55" ref="G187:G204">CEILING(F187*O187,5)</f>
        <v>645</v>
      </c>
      <c r="H187" s="52">
        <f>CEILING(N187*1.3,0.5)</f>
        <v>50</v>
      </c>
      <c r="I187" s="53">
        <f aca="true" t="shared" si="56" ref="I187:I204">CEILING(H187*O187,5)</f>
        <v>600</v>
      </c>
      <c r="J187" s="52">
        <f>CEILING(N187*1.2,0.5)</f>
        <v>46</v>
      </c>
      <c r="K187" s="53">
        <f aca="true" t="shared" si="57" ref="K187:K204">CEILING(J187*O187,5)</f>
        <v>555</v>
      </c>
      <c r="L187" s="52">
        <f>CEILING(N187*1.15,0.5)</f>
        <v>44</v>
      </c>
      <c r="M187" s="53">
        <f aca="true" t="shared" si="58" ref="M187:M204">CEILING(L187*O187,5)</f>
        <v>530</v>
      </c>
      <c r="N187" s="273">
        <f aca="true" t="shared" si="59" ref="N187:N204">N186</f>
        <v>38.1</v>
      </c>
      <c r="O187" s="332">
        <v>12</v>
      </c>
      <c r="Q187" s="246"/>
      <c r="R187" s="488"/>
    </row>
    <row r="188" spans="1:18" ht="15">
      <c r="A188" s="706" t="s">
        <v>396</v>
      </c>
      <c r="B188" s="707"/>
      <c r="C188" s="707"/>
      <c r="D188" s="707"/>
      <c r="E188" s="708"/>
      <c r="F188" s="52">
        <f aca="true" t="shared" si="60" ref="F188:F204">CEILING(N188*1.4,0.5)</f>
        <v>53.5</v>
      </c>
      <c r="G188" s="53">
        <f t="shared" si="55"/>
        <v>805</v>
      </c>
      <c r="H188" s="52">
        <f aca="true" t="shared" si="61" ref="H188:H204">CEILING(N188*1.3,0.5)</f>
        <v>50</v>
      </c>
      <c r="I188" s="53">
        <f t="shared" si="56"/>
        <v>750</v>
      </c>
      <c r="J188" s="52">
        <f aca="true" t="shared" si="62" ref="J188:J204">CEILING(N188*1.2,0.5)</f>
        <v>46</v>
      </c>
      <c r="K188" s="53">
        <f t="shared" si="57"/>
        <v>690</v>
      </c>
      <c r="L188" s="52">
        <f aca="true" t="shared" si="63" ref="L188:L204">CEILING(N188*1.15,0.5)</f>
        <v>44</v>
      </c>
      <c r="M188" s="53">
        <f t="shared" si="58"/>
        <v>660</v>
      </c>
      <c r="N188" s="273">
        <f t="shared" si="59"/>
        <v>38.1</v>
      </c>
      <c r="O188" s="332">
        <v>15</v>
      </c>
      <c r="Q188" s="246"/>
      <c r="R188" s="488"/>
    </row>
    <row r="189" spans="1:18" ht="15">
      <c r="A189" s="706" t="s">
        <v>397</v>
      </c>
      <c r="B189" s="707"/>
      <c r="C189" s="707"/>
      <c r="D189" s="707"/>
      <c r="E189" s="708"/>
      <c r="F189" s="52">
        <f t="shared" si="60"/>
        <v>53.5</v>
      </c>
      <c r="G189" s="53">
        <f t="shared" si="55"/>
        <v>965</v>
      </c>
      <c r="H189" s="52">
        <f t="shared" si="61"/>
        <v>50</v>
      </c>
      <c r="I189" s="53">
        <f t="shared" si="56"/>
        <v>900</v>
      </c>
      <c r="J189" s="52">
        <f t="shared" si="62"/>
        <v>46</v>
      </c>
      <c r="K189" s="53">
        <f t="shared" si="57"/>
        <v>830</v>
      </c>
      <c r="L189" s="52">
        <f t="shared" si="63"/>
        <v>44</v>
      </c>
      <c r="M189" s="53">
        <f t="shared" si="58"/>
        <v>795</v>
      </c>
      <c r="N189" s="273">
        <f t="shared" si="59"/>
        <v>38.1</v>
      </c>
      <c r="O189" s="332">
        <v>18</v>
      </c>
      <c r="Q189" s="246"/>
      <c r="R189" s="488"/>
    </row>
    <row r="190" spans="1:18" ht="15">
      <c r="A190" s="706" t="s">
        <v>398</v>
      </c>
      <c r="B190" s="707"/>
      <c r="C190" s="707"/>
      <c r="D190" s="707"/>
      <c r="E190" s="708"/>
      <c r="F190" s="52">
        <f t="shared" si="60"/>
        <v>53.5</v>
      </c>
      <c r="G190" s="53">
        <f t="shared" si="55"/>
        <v>1070</v>
      </c>
      <c r="H190" s="52">
        <f t="shared" si="61"/>
        <v>50</v>
      </c>
      <c r="I190" s="53">
        <f t="shared" si="56"/>
        <v>1000</v>
      </c>
      <c r="J190" s="52">
        <f t="shared" si="62"/>
        <v>46</v>
      </c>
      <c r="K190" s="53">
        <f t="shared" si="57"/>
        <v>920</v>
      </c>
      <c r="L190" s="52">
        <f t="shared" si="63"/>
        <v>44</v>
      </c>
      <c r="M190" s="53">
        <f t="shared" si="58"/>
        <v>880</v>
      </c>
      <c r="N190" s="273">
        <f t="shared" si="59"/>
        <v>38.1</v>
      </c>
      <c r="O190" s="332">
        <v>20</v>
      </c>
      <c r="Q190" s="246"/>
      <c r="R190" s="488"/>
    </row>
    <row r="191" spans="1:18" ht="15">
      <c r="A191" s="706" t="s">
        <v>399</v>
      </c>
      <c r="B191" s="707"/>
      <c r="C191" s="707"/>
      <c r="D191" s="707"/>
      <c r="E191" s="708"/>
      <c r="F191" s="52">
        <f t="shared" si="60"/>
        <v>53.5</v>
      </c>
      <c r="G191" s="53">
        <f t="shared" si="55"/>
        <v>1285</v>
      </c>
      <c r="H191" s="52">
        <f t="shared" si="61"/>
        <v>50</v>
      </c>
      <c r="I191" s="53">
        <f t="shared" si="56"/>
        <v>1200</v>
      </c>
      <c r="J191" s="52">
        <f t="shared" si="62"/>
        <v>46</v>
      </c>
      <c r="K191" s="53">
        <f t="shared" si="57"/>
        <v>1105</v>
      </c>
      <c r="L191" s="52">
        <f t="shared" si="63"/>
        <v>44</v>
      </c>
      <c r="M191" s="53">
        <f t="shared" si="58"/>
        <v>1060</v>
      </c>
      <c r="N191" s="273">
        <f t="shared" si="59"/>
        <v>38.1</v>
      </c>
      <c r="O191" s="332">
        <v>24</v>
      </c>
      <c r="Q191" s="246"/>
      <c r="R191" s="488"/>
    </row>
    <row r="192" spans="1:18" ht="15">
      <c r="A192" s="706" t="s">
        <v>400</v>
      </c>
      <c r="B192" s="707"/>
      <c r="C192" s="707"/>
      <c r="D192" s="707"/>
      <c r="E192" s="708"/>
      <c r="F192" s="52">
        <f t="shared" si="60"/>
        <v>53.5</v>
      </c>
      <c r="G192" s="53">
        <f t="shared" si="55"/>
        <v>1715</v>
      </c>
      <c r="H192" s="52">
        <f t="shared" si="61"/>
        <v>50</v>
      </c>
      <c r="I192" s="53">
        <f t="shared" si="56"/>
        <v>1600</v>
      </c>
      <c r="J192" s="52">
        <f t="shared" si="62"/>
        <v>46</v>
      </c>
      <c r="K192" s="53">
        <f t="shared" si="57"/>
        <v>1475</v>
      </c>
      <c r="L192" s="52">
        <f t="shared" si="63"/>
        <v>44</v>
      </c>
      <c r="M192" s="53">
        <f t="shared" si="58"/>
        <v>1410</v>
      </c>
      <c r="N192" s="273">
        <f t="shared" si="59"/>
        <v>38.1</v>
      </c>
      <c r="O192" s="332">
        <v>32</v>
      </c>
      <c r="Q192" s="246"/>
      <c r="R192" s="488"/>
    </row>
    <row r="193" spans="1:18" ht="15">
      <c r="A193" s="706" t="s">
        <v>401</v>
      </c>
      <c r="B193" s="707"/>
      <c r="C193" s="707"/>
      <c r="D193" s="707"/>
      <c r="E193" s="708"/>
      <c r="F193" s="52">
        <f t="shared" si="60"/>
        <v>53.5</v>
      </c>
      <c r="G193" s="53">
        <f t="shared" si="55"/>
        <v>1605</v>
      </c>
      <c r="H193" s="52">
        <f t="shared" si="61"/>
        <v>50</v>
      </c>
      <c r="I193" s="53">
        <f t="shared" si="56"/>
        <v>1500</v>
      </c>
      <c r="J193" s="52">
        <f t="shared" si="62"/>
        <v>46</v>
      </c>
      <c r="K193" s="53">
        <f t="shared" si="57"/>
        <v>1380</v>
      </c>
      <c r="L193" s="52">
        <f t="shared" si="63"/>
        <v>44</v>
      </c>
      <c r="M193" s="53">
        <f t="shared" si="58"/>
        <v>1320</v>
      </c>
      <c r="N193" s="273">
        <f t="shared" si="59"/>
        <v>38.1</v>
      </c>
      <c r="O193" s="332">
        <v>30</v>
      </c>
      <c r="Q193" s="246"/>
      <c r="R193" s="488"/>
    </row>
    <row r="194" spans="1:18" ht="15">
      <c r="A194" s="706" t="s">
        <v>402</v>
      </c>
      <c r="B194" s="707"/>
      <c r="C194" s="707"/>
      <c r="D194" s="707"/>
      <c r="E194" s="708"/>
      <c r="F194" s="52">
        <f t="shared" si="60"/>
        <v>53.5</v>
      </c>
      <c r="G194" s="53">
        <f t="shared" si="55"/>
        <v>2570</v>
      </c>
      <c r="H194" s="52">
        <f t="shared" si="61"/>
        <v>50</v>
      </c>
      <c r="I194" s="53">
        <f t="shared" si="56"/>
        <v>2400</v>
      </c>
      <c r="J194" s="52">
        <f t="shared" si="62"/>
        <v>46</v>
      </c>
      <c r="K194" s="53">
        <f t="shared" si="57"/>
        <v>2210</v>
      </c>
      <c r="L194" s="52">
        <f t="shared" si="63"/>
        <v>44</v>
      </c>
      <c r="M194" s="53">
        <f t="shared" si="58"/>
        <v>2115</v>
      </c>
      <c r="N194" s="273">
        <f t="shared" si="59"/>
        <v>38.1</v>
      </c>
      <c r="O194" s="332">
        <v>48</v>
      </c>
      <c r="Q194" s="246"/>
      <c r="R194" s="488"/>
    </row>
    <row r="195" spans="1:18" ht="15">
      <c r="A195" s="706" t="s">
        <v>403</v>
      </c>
      <c r="B195" s="707"/>
      <c r="C195" s="707"/>
      <c r="D195" s="707"/>
      <c r="E195" s="708"/>
      <c r="F195" s="52">
        <f t="shared" si="60"/>
        <v>53.5</v>
      </c>
      <c r="G195" s="53">
        <f t="shared" si="55"/>
        <v>3210</v>
      </c>
      <c r="H195" s="52">
        <f t="shared" si="61"/>
        <v>50</v>
      </c>
      <c r="I195" s="53">
        <f t="shared" si="56"/>
        <v>3000</v>
      </c>
      <c r="J195" s="52">
        <f t="shared" si="62"/>
        <v>46</v>
      </c>
      <c r="K195" s="53">
        <f t="shared" si="57"/>
        <v>2760</v>
      </c>
      <c r="L195" s="52">
        <f t="shared" si="63"/>
        <v>44</v>
      </c>
      <c r="M195" s="53">
        <f t="shared" si="58"/>
        <v>2640</v>
      </c>
      <c r="N195" s="273">
        <f t="shared" si="59"/>
        <v>38.1</v>
      </c>
      <c r="O195" s="332">
        <v>60</v>
      </c>
      <c r="Q195" s="246"/>
      <c r="R195" s="488"/>
    </row>
    <row r="196" spans="1:18" ht="15">
      <c r="A196" s="706" t="s">
        <v>404</v>
      </c>
      <c r="B196" s="707"/>
      <c r="C196" s="707"/>
      <c r="D196" s="707"/>
      <c r="E196" s="708"/>
      <c r="F196" s="52">
        <f t="shared" si="60"/>
        <v>53.5</v>
      </c>
      <c r="G196" s="53">
        <f t="shared" si="55"/>
        <v>4280</v>
      </c>
      <c r="H196" s="52">
        <f t="shared" si="61"/>
        <v>50</v>
      </c>
      <c r="I196" s="53">
        <f t="shared" si="56"/>
        <v>4000</v>
      </c>
      <c r="J196" s="52">
        <f t="shared" si="62"/>
        <v>46</v>
      </c>
      <c r="K196" s="53">
        <f t="shared" si="57"/>
        <v>3680</v>
      </c>
      <c r="L196" s="52">
        <f t="shared" si="63"/>
        <v>44</v>
      </c>
      <c r="M196" s="53">
        <f t="shared" si="58"/>
        <v>3520</v>
      </c>
      <c r="N196" s="273">
        <f t="shared" si="59"/>
        <v>38.1</v>
      </c>
      <c r="O196" s="332">
        <v>80</v>
      </c>
      <c r="Q196" s="246"/>
      <c r="R196" s="488"/>
    </row>
    <row r="197" spans="1:18" ht="15">
      <c r="A197" s="706" t="s">
        <v>405</v>
      </c>
      <c r="B197" s="707"/>
      <c r="C197" s="707"/>
      <c r="D197" s="707"/>
      <c r="E197" s="708"/>
      <c r="F197" s="52">
        <f t="shared" si="60"/>
        <v>53.5</v>
      </c>
      <c r="G197" s="53">
        <f t="shared" si="55"/>
        <v>5140</v>
      </c>
      <c r="H197" s="52">
        <f t="shared" si="61"/>
        <v>50</v>
      </c>
      <c r="I197" s="53">
        <f t="shared" si="56"/>
        <v>4800</v>
      </c>
      <c r="J197" s="52">
        <f t="shared" si="62"/>
        <v>46</v>
      </c>
      <c r="K197" s="53">
        <f t="shared" si="57"/>
        <v>4420</v>
      </c>
      <c r="L197" s="52">
        <f t="shared" si="63"/>
        <v>44</v>
      </c>
      <c r="M197" s="53">
        <f t="shared" si="58"/>
        <v>4225</v>
      </c>
      <c r="N197" s="273">
        <f t="shared" si="59"/>
        <v>38.1</v>
      </c>
      <c r="O197" s="332">
        <v>96</v>
      </c>
      <c r="Q197" s="246"/>
      <c r="R197" s="488"/>
    </row>
    <row r="198" spans="1:18" ht="15">
      <c r="A198" s="706" t="s">
        <v>406</v>
      </c>
      <c r="B198" s="707"/>
      <c r="C198" s="707"/>
      <c r="D198" s="707"/>
      <c r="E198" s="708"/>
      <c r="F198" s="52">
        <f t="shared" si="60"/>
        <v>53.5</v>
      </c>
      <c r="G198" s="53">
        <f t="shared" si="55"/>
        <v>6420</v>
      </c>
      <c r="H198" s="52">
        <f t="shared" si="61"/>
        <v>50</v>
      </c>
      <c r="I198" s="53">
        <f t="shared" si="56"/>
        <v>6000</v>
      </c>
      <c r="J198" s="52">
        <f t="shared" si="62"/>
        <v>46</v>
      </c>
      <c r="K198" s="53">
        <f t="shared" si="57"/>
        <v>5520</v>
      </c>
      <c r="L198" s="52">
        <f t="shared" si="63"/>
        <v>44</v>
      </c>
      <c r="M198" s="53">
        <f t="shared" si="58"/>
        <v>5280</v>
      </c>
      <c r="N198" s="273">
        <f t="shared" si="59"/>
        <v>38.1</v>
      </c>
      <c r="O198" s="332">
        <v>120</v>
      </c>
      <c r="Q198" s="246"/>
      <c r="R198" s="488"/>
    </row>
    <row r="199" spans="1:18" ht="15">
      <c r="A199" s="706" t="s">
        <v>407</v>
      </c>
      <c r="B199" s="707"/>
      <c r="C199" s="707"/>
      <c r="D199" s="707"/>
      <c r="E199" s="708"/>
      <c r="F199" s="52">
        <f t="shared" si="60"/>
        <v>53.5</v>
      </c>
      <c r="G199" s="53">
        <f t="shared" si="55"/>
        <v>8025</v>
      </c>
      <c r="H199" s="52">
        <f t="shared" si="61"/>
        <v>50</v>
      </c>
      <c r="I199" s="53">
        <f t="shared" si="56"/>
        <v>7500</v>
      </c>
      <c r="J199" s="52">
        <f t="shared" si="62"/>
        <v>46</v>
      </c>
      <c r="K199" s="53">
        <f t="shared" si="57"/>
        <v>6900</v>
      </c>
      <c r="L199" s="52">
        <f t="shared" si="63"/>
        <v>44</v>
      </c>
      <c r="M199" s="53">
        <f t="shared" si="58"/>
        <v>6600</v>
      </c>
      <c r="N199" s="273">
        <f t="shared" si="59"/>
        <v>38.1</v>
      </c>
      <c r="O199" s="332">
        <v>150</v>
      </c>
      <c r="Q199" s="246"/>
      <c r="R199" s="488"/>
    </row>
    <row r="200" spans="1:18" ht="15">
      <c r="A200" s="706" t="s">
        <v>408</v>
      </c>
      <c r="B200" s="707"/>
      <c r="C200" s="707"/>
      <c r="D200" s="707"/>
      <c r="E200" s="708"/>
      <c r="F200" s="52">
        <f t="shared" si="60"/>
        <v>53.5</v>
      </c>
      <c r="G200" s="53">
        <f t="shared" si="55"/>
        <v>10700</v>
      </c>
      <c r="H200" s="52">
        <f t="shared" si="61"/>
        <v>50</v>
      </c>
      <c r="I200" s="53">
        <f t="shared" si="56"/>
        <v>10000</v>
      </c>
      <c r="J200" s="52">
        <f t="shared" si="62"/>
        <v>46</v>
      </c>
      <c r="K200" s="53">
        <f t="shared" si="57"/>
        <v>9200</v>
      </c>
      <c r="L200" s="52">
        <f t="shared" si="63"/>
        <v>44</v>
      </c>
      <c r="M200" s="53">
        <f t="shared" si="58"/>
        <v>8800</v>
      </c>
      <c r="N200" s="273">
        <f t="shared" si="59"/>
        <v>38.1</v>
      </c>
      <c r="O200" s="332">
        <v>200</v>
      </c>
      <c r="Q200" s="246"/>
      <c r="R200" s="488"/>
    </row>
    <row r="201" spans="1:18" ht="15">
      <c r="A201" s="706" t="s">
        <v>409</v>
      </c>
      <c r="B201" s="707"/>
      <c r="C201" s="707"/>
      <c r="D201" s="707"/>
      <c r="E201" s="708"/>
      <c r="F201" s="52">
        <f t="shared" si="60"/>
        <v>53.5</v>
      </c>
      <c r="G201" s="53">
        <f t="shared" si="55"/>
        <v>12040</v>
      </c>
      <c r="H201" s="52">
        <f t="shared" si="61"/>
        <v>50</v>
      </c>
      <c r="I201" s="53">
        <f t="shared" si="56"/>
        <v>11250</v>
      </c>
      <c r="J201" s="52">
        <f t="shared" si="62"/>
        <v>46</v>
      </c>
      <c r="K201" s="53">
        <f t="shared" si="57"/>
        <v>10350</v>
      </c>
      <c r="L201" s="52">
        <f t="shared" si="63"/>
        <v>44</v>
      </c>
      <c r="M201" s="53">
        <f t="shared" si="58"/>
        <v>9900</v>
      </c>
      <c r="N201" s="273">
        <f t="shared" si="59"/>
        <v>38.1</v>
      </c>
      <c r="O201" s="332">
        <v>225</v>
      </c>
      <c r="Q201" s="246"/>
      <c r="R201" s="488"/>
    </row>
    <row r="202" spans="1:18" ht="15">
      <c r="A202" s="706" t="s">
        <v>410</v>
      </c>
      <c r="B202" s="707"/>
      <c r="C202" s="707"/>
      <c r="D202" s="707"/>
      <c r="E202" s="708"/>
      <c r="F202" s="52">
        <f t="shared" si="60"/>
        <v>53.5</v>
      </c>
      <c r="G202" s="53">
        <f t="shared" si="55"/>
        <v>16050</v>
      </c>
      <c r="H202" s="52">
        <f t="shared" si="61"/>
        <v>50</v>
      </c>
      <c r="I202" s="53">
        <f t="shared" si="56"/>
        <v>15000</v>
      </c>
      <c r="J202" s="52">
        <f t="shared" si="62"/>
        <v>46</v>
      </c>
      <c r="K202" s="53">
        <f t="shared" si="57"/>
        <v>13800</v>
      </c>
      <c r="L202" s="52">
        <f t="shared" si="63"/>
        <v>44</v>
      </c>
      <c r="M202" s="53">
        <f t="shared" si="58"/>
        <v>13200</v>
      </c>
      <c r="N202" s="273">
        <f t="shared" si="59"/>
        <v>38.1</v>
      </c>
      <c r="O202" s="332">
        <v>300</v>
      </c>
      <c r="Q202" s="246"/>
      <c r="R202" s="488"/>
    </row>
    <row r="203" spans="1:18" ht="15">
      <c r="A203" s="706" t="s">
        <v>411</v>
      </c>
      <c r="B203" s="707"/>
      <c r="C203" s="707"/>
      <c r="D203" s="707"/>
      <c r="E203" s="708"/>
      <c r="F203" s="52">
        <f t="shared" si="60"/>
        <v>53.5</v>
      </c>
      <c r="G203" s="53">
        <f t="shared" si="55"/>
        <v>21400</v>
      </c>
      <c r="H203" s="52">
        <f t="shared" si="61"/>
        <v>50</v>
      </c>
      <c r="I203" s="53">
        <f t="shared" si="56"/>
        <v>20000</v>
      </c>
      <c r="J203" s="52">
        <f t="shared" si="62"/>
        <v>46</v>
      </c>
      <c r="K203" s="53">
        <f t="shared" si="57"/>
        <v>18400</v>
      </c>
      <c r="L203" s="52">
        <f t="shared" si="63"/>
        <v>44</v>
      </c>
      <c r="M203" s="53">
        <f t="shared" si="58"/>
        <v>17600</v>
      </c>
      <c r="N203" s="273">
        <f t="shared" si="59"/>
        <v>38.1</v>
      </c>
      <c r="O203" s="332">
        <v>400</v>
      </c>
      <c r="Q203" s="246"/>
      <c r="R203" s="488"/>
    </row>
    <row r="204" spans="1:18" ht="15.75" thickBot="1">
      <c r="A204" s="753" t="s">
        <v>648</v>
      </c>
      <c r="B204" s="754"/>
      <c r="C204" s="754"/>
      <c r="D204" s="754"/>
      <c r="E204" s="755"/>
      <c r="F204" s="50">
        <f t="shared" si="60"/>
        <v>53.5</v>
      </c>
      <c r="G204" s="51">
        <f t="shared" si="55"/>
        <v>32100</v>
      </c>
      <c r="H204" s="50">
        <f t="shared" si="61"/>
        <v>50</v>
      </c>
      <c r="I204" s="51">
        <f t="shared" si="56"/>
        <v>30000</v>
      </c>
      <c r="J204" s="50">
        <f t="shared" si="62"/>
        <v>46</v>
      </c>
      <c r="K204" s="51">
        <f t="shared" si="57"/>
        <v>27600</v>
      </c>
      <c r="L204" s="50">
        <f t="shared" si="63"/>
        <v>44</v>
      </c>
      <c r="M204" s="51">
        <f t="shared" si="58"/>
        <v>26400</v>
      </c>
      <c r="N204" s="273">
        <f t="shared" si="59"/>
        <v>38.1</v>
      </c>
      <c r="O204" s="332">
        <v>600</v>
      </c>
      <c r="Q204" s="236"/>
      <c r="R204" s="475"/>
    </row>
    <row r="205" spans="1:18" s="504" customFormat="1" ht="15.75" customHeight="1" thickTop="1">
      <c r="A205" s="712" t="s">
        <v>43</v>
      </c>
      <c r="B205" s="713"/>
      <c r="C205" s="713"/>
      <c r="D205" s="713"/>
      <c r="E205" s="713"/>
      <c r="F205" s="713"/>
      <c r="G205" s="713"/>
      <c r="H205" s="713"/>
      <c r="I205" s="713"/>
      <c r="J205" s="713"/>
      <c r="K205" s="713"/>
      <c r="L205" s="713"/>
      <c r="M205" s="714"/>
      <c r="N205" s="432">
        <v>55.94</v>
      </c>
      <c r="O205" s="332"/>
      <c r="P205" s="273"/>
      <c r="Q205" s="225"/>
      <c r="R205" s="225"/>
    </row>
    <row r="206" spans="1:18" ht="15">
      <c r="A206" s="792" t="s">
        <v>412</v>
      </c>
      <c r="B206" s="793"/>
      <c r="C206" s="793"/>
      <c r="D206" s="793"/>
      <c r="E206" s="794"/>
      <c r="F206" s="52">
        <f>CEILING(N206*1.4,0.5)</f>
        <v>78.5</v>
      </c>
      <c r="G206" s="53">
        <f aca="true" t="shared" si="64" ref="G206:G224">CEILING(F206*O206,5)</f>
        <v>475</v>
      </c>
      <c r="H206" s="52">
        <f>CEILING(N206*1.3,0.5)</f>
        <v>73</v>
      </c>
      <c r="I206" s="53">
        <f>CEILING(H206*O206,5)</f>
        <v>440</v>
      </c>
      <c r="J206" s="52">
        <f>CEILING(N206*1.2,0.5)</f>
        <v>67.5</v>
      </c>
      <c r="K206" s="53">
        <f>CEILING(J206*O206,5)</f>
        <v>405</v>
      </c>
      <c r="L206" s="52">
        <f>CEILING(N206*1.15,0.5)</f>
        <v>64.5</v>
      </c>
      <c r="M206" s="53">
        <f>CEILING(L206*O206,5)</f>
        <v>390</v>
      </c>
      <c r="N206" s="273">
        <f>N205</f>
        <v>55.94</v>
      </c>
      <c r="O206" s="332">
        <v>6</v>
      </c>
      <c r="Q206" s="235"/>
      <c r="R206" s="474"/>
    </row>
    <row r="207" spans="1:18" ht="15">
      <c r="A207" s="706" t="s">
        <v>413</v>
      </c>
      <c r="B207" s="707"/>
      <c r="C207" s="707"/>
      <c r="D207" s="707"/>
      <c r="E207" s="708"/>
      <c r="F207" s="52">
        <f>CEILING(N207*1.4,0.5)</f>
        <v>78.5</v>
      </c>
      <c r="G207" s="53">
        <f t="shared" si="64"/>
        <v>945</v>
      </c>
      <c r="H207" s="52">
        <f>CEILING(N207*1.3,0.5)</f>
        <v>73</v>
      </c>
      <c r="I207" s="53">
        <f aca="true" t="shared" si="65" ref="I207:I224">CEILING(H207*O207,5)</f>
        <v>880</v>
      </c>
      <c r="J207" s="52">
        <f>CEILING(N207*1.2,0.5)</f>
        <v>67.5</v>
      </c>
      <c r="K207" s="53">
        <f aca="true" t="shared" si="66" ref="K207:K224">CEILING(J207*O207,5)</f>
        <v>810</v>
      </c>
      <c r="L207" s="52">
        <f>CEILING(N207*1.15,0.5)</f>
        <v>64.5</v>
      </c>
      <c r="M207" s="53">
        <f aca="true" t="shared" si="67" ref="M207:M224">CEILING(L207*O207,5)</f>
        <v>775</v>
      </c>
      <c r="N207" s="273">
        <f aca="true" t="shared" si="68" ref="N207:N224">N206</f>
        <v>55.94</v>
      </c>
      <c r="O207" s="332">
        <v>12</v>
      </c>
      <c r="Q207" s="246"/>
      <c r="R207" s="474"/>
    </row>
    <row r="208" spans="1:18" ht="15">
      <c r="A208" s="706" t="s">
        <v>414</v>
      </c>
      <c r="B208" s="707"/>
      <c r="C208" s="707"/>
      <c r="D208" s="707"/>
      <c r="E208" s="708"/>
      <c r="F208" s="52">
        <f aca="true" t="shared" si="69" ref="F208:F224">CEILING(N208*1.4,0.5)</f>
        <v>78.5</v>
      </c>
      <c r="G208" s="53">
        <f t="shared" si="64"/>
        <v>1180</v>
      </c>
      <c r="H208" s="52">
        <f aca="true" t="shared" si="70" ref="H208:H224">CEILING(N208*1.3,0.5)</f>
        <v>73</v>
      </c>
      <c r="I208" s="53">
        <f t="shared" si="65"/>
        <v>1095</v>
      </c>
      <c r="J208" s="52">
        <f aca="true" t="shared" si="71" ref="J208:J224">CEILING(N208*1.2,0.5)</f>
        <v>67.5</v>
      </c>
      <c r="K208" s="53">
        <f t="shared" si="66"/>
        <v>1015</v>
      </c>
      <c r="L208" s="52">
        <f aca="true" t="shared" si="72" ref="L208:L224">CEILING(N208*1.15,0.5)</f>
        <v>64.5</v>
      </c>
      <c r="M208" s="53">
        <f t="shared" si="67"/>
        <v>970</v>
      </c>
      <c r="N208" s="273">
        <f t="shared" si="68"/>
        <v>55.94</v>
      </c>
      <c r="O208" s="332">
        <v>15</v>
      </c>
      <c r="Q208" s="246"/>
      <c r="R208" s="474"/>
    </row>
    <row r="209" spans="1:18" ht="15">
      <c r="A209" s="706" t="s">
        <v>415</v>
      </c>
      <c r="B209" s="707"/>
      <c r="C209" s="707"/>
      <c r="D209" s="707"/>
      <c r="E209" s="708"/>
      <c r="F209" s="52">
        <f t="shared" si="69"/>
        <v>78.5</v>
      </c>
      <c r="G209" s="53">
        <f t="shared" si="64"/>
        <v>1415</v>
      </c>
      <c r="H209" s="52">
        <f t="shared" si="70"/>
        <v>73</v>
      </c>
      <c r="I209" s="53">
        <f t="shared" si="65"/>
        <v>1315</v>
      </c>
      <c r="J209" s="52">
        <f t="shared" si="71"/>
        <v>67.5</v>
      </c>
      <c r="K209" s="53">
        <f t="shared" si="66"/>
        <v>1215</v>
      </c>
      <c r="L209" s="52">
        <f t="shared" si="72"/>
        <v>64.5</v>
      </c>
      <c r="M209" s="53">
        <f t="shared" si="67"/>
        <v>1165</v>
      </c>
      <c r="N209" s="273">
        <f t="shared" si="68"/>
        <v>55.94</v>
      </c>
      <c r="O209" s="332">
        <v>18</v>
      </c>
      <c r="Q209" s="246"/>
      <c r="R209" s="474"/>
    </row>
    <row r="210" spans="1:18" ht="15">
      <c r="A210" s="706" t="s">
        <v>416</v>
      </c>
      <c r="B210" s="707"/>
      <c r="C210" s="707"/>
      <c r="D210" s="707"/>
      <c r="E210" s="708"/>
      <c r="F210" s="52">
        <f t="shared" si="69"/>
        <v>78.5</v>
      </c>
      <c r="G210" s="53">
        <f t="shared" si="64"/>
        <v>1570</v>
      </c>
      <c r="H210" s="52">
        <f t="shared" si="70"/>
        <v>73</v>
      </c>
      <c r="I210" s="53">
        <f t="shared" si="65"/>
        <v>1460</v>
      </c>
      <c r="J210" s="52">
        <f t="shared" si="71"/>
        <v>67.5</v>
      </c>
      <c r="K210" s="53">
        <f t="shared" si="66"/>
        <v>1350</v>
      </c>
      <c r="L210" s="52">
        <f t="shared" si="72"/>
        <v>64.5</v>
      </c>
      <c r="M210" s="53">
        <f t="shared" si="67"/>
        <v>1290</v>
      </c>
      <c r="N210" s="273">
        <f t="shared" si="68"/>
        <v>55.94</v>
      </c>
      <c r="O210" s="332">
        <v>20</v>
      </c>
      <c r="Q210" s="246"/>
      <c r="R210" s="474"/>
    </row>
    <row r="211" spans="1:18" ht="15">
      <c r="A211" s="706" t="s">
        <v>417</v>
      </c>
      <c r="B211" s="707"/>
      <c r="C211" s="707"/>
      <c r="D211" s="707"/>
      <c r="E211" s="708"/>
      <c r="F211" s="52">
        <f t="shared" si="69"/>
        <v>78.5</v>
      </c>
      <c r="G211" s="53">
        <f t="shared" si="64"/>
        <v>1885</v>
      </c>
      <c r="H211" s="52">
        <f t="shared" si="70"/>
        <v>73</v>
      </c>
      <c r="I211" s="53">
        <f t="shared" si="65"/>
        <v>1755</v>
      </c>
      <c r="J211" s="52">
        <f t="shared" si="71"/>
        <v>67.5</v>
      </c>
      <c r="K211" s="53">
        <f t="shared" si="66"/>
        <v>1620</v>
      </c>
      <c r="L211" s="52">
        <f t="shared" si="72"/>
        <v>64.5</v>
      </c>
      <c r="M211" s="53">
        <f t="shared" si="67"/>
        <v>1550</v>
      </c>
      <c r="N211" s="273">
        <f t="shared" si="68"/>
        <v>55.94</v>
      </c>
      <c r="O211" s="332">
        <v>24</v>
      </c>
      <c r="Q211" s="246"/>
      <c r="R211" s="474"/>
    </row>
    <row r="212" spans="1:18" ht="15">
      <c r="A212" s="706" t="s">
        <v>418</v>
      </c>
      <c r="B212" s="707"/>
      <c r="C212" s="707"/>
      <c r="D212" s="707"/>
      <c r="E212" s="708"/>
      <c r="F212" s="52">
        <f t="shared" si="69"/>
        <v>78.5</v>
      </c>
      <c r="G212" s="53">
        <f t="shared" si="64"/>
        <v>2515</v>
      </c>
      <c r="H212" s="52">
        <f t="shared" si="70"/>
        <v>73</v>
      </c>
      <c r="I212" s="53">
        <f t="shared" si="65"/>
        <v>2340</v>
      </c>
      <c r="J212" s="52">
        <f t="shared" si="71"/>
        <v>67.5</v>
      </c>
      <c r="K212" s="53">
        <f t="shared" si="66"/>
        <v>2160</v>
      </c>
      <c r="L212" s="52">
        <f t="shared" si="72"/>
        <v>64.5</v>
      </c>
      <c r="M212" s="53">
        <f t="shared" si="67"/>
        <v>2065</v>
      </c>
      <c r="N212" s="273">
        <f t="shared" si="68"/>
        <v>55.94</v>
      </c>
      <c r="O212" s="332">
        <v>32</v>
      </c>
      <c r="Q212" s="246"/>
      <c r="R212" s="474"/>
    </row>
    <row r="213" spans="1:18" ht="15">
      <c r="A213" s="706" t="s">
        <v>419</v>
      </c>
      <c r="B213" s="707"/>
      <c r="C213" s="707"/>
      <c r="D213" s="707"/>
      <c r="E213" s="708"/>
      <c r="F213" s="52">
        <f t="shared" si="69"/>
        <v>78.5</v>
      </c>
      <c r="G213" s="53">
        <f t="shared" si="64"/>
        <v>2355</v>
      </c>
      <c r="H213" s="52">
        <f t="shared" si="70"/>
        <v>73</v>
      </c>
      <c r="I213" s="53">
        <f t="shared" si="65"/>
        <v>2190</v>
      </c>
      <c r="J213" s="52">
        <f t="shared" si="71"/>
        <v>67.5</v>
      </c>
      <c r="K213" s="53">
        <f t="shared" si="66"/>
        <v>2025</v>
      </c>
      <c r="L213" s="52">
        <f t="shared" si="72"/>
        <v>64.5</v>
      </c>
      <c r="M213" s="53">
        <f t="shared" si="67"/>
        <v>1935</v>
      </c>
      <c r="N213" s="273">
        <f t="shared" si="68"/>
        <v>55.94</v>
      </c>
      <c r="O213" s="332">
        <v>30</v>
      </c>
      <c r="Q213" s="246"/>
      <c r="R213" s="474"/>
    </row>
    <row r="214" spans="1:18" ht="15">
      <c r="A214" s="706" t="s">
        <v>420</v>
      </c>
      <c r="B214" s="707"/>
      <c r="C214" s="707"/>
      <c r="D214" s="707"/>
      <c r="E214" s="708"/>
      <c r="F214" s="52">
        <f t="shared" si="69"/>
        <v>78.5</v>
      </c>
      <c r="G214" s="53">
        <f t="shared" si="64"/>
        <v>3770</v>
      </c>
      <c r="H214" s="52">
        <f t="shared" si="70"/>
        <v>73</v>
      </c>
      <c r="I214" s="53">
        <f t="shared" si="65"/>
        <v>3505</v>
      </c>
      <c r="J214" s="52">
        <f t="shared" si="71"/>
        <v>67.5</v>
      </c>
      <c r="K214" s="53">
        <f t="shared" si="66"/>
        <v>3240</v>
      </c>
      <c r="L214" s="52">
        <f t="shared" si="72"/>
        <v>64.5</v>
      </c>
      <c r="M214" s="53">
        <f t="shared" si="67"/>
        <v>3100</v>
      </c>
      <c r="N214" s="273">
        <f t="shared" si="68"/>
        <v>55.94</v>
      </c>
      <c r="O214" s="332">
        <v>48</v>
      </c>
      <c r="Q214" s="246"/>
      <c r="R214" s="474"/>
    </row>
    <row r="215" spans="1:18" ht="15">
      <c r="A215" s="706" t="s">
        <v>421</v>
      </c>
      <c r="B215" s="707"/>
      <c r="C215" s="707"/>
      <c r="D215" s="707"/>
      <c r="E215" s="708"/>
      <c r="F215" s="52">
        <f t="shared" si="69"/>
        <v>78.5</v>
      </c>
      <c r="G215" s="53">
        <f t="shared" si="64"/>
        <v>4710</v>
      </c>
      <c r="H215" s="52">
        <f t="shared" si="70"/>
        <v>73</v>
      </c>
      <c r="I215" s="53">
        <f t="shared" si="65"/>
        <v>4380</v>
      </c>
      <c r="J215" s="52">
        <f t="shared" si="71"/>
        <v>67.5</v>
      </c>
      <c r="K215" s="53">
        <f t="shared" si="66"/>
        <v>4050</v>
      </c>
      <c r="L215" s="52">
        <f t="shared" si="72"/>
        <v>64.5</v>
      </c>
      <c r="M215" s="53">
        <f t="shared" si="67"/>
        <v>3870</v>
      </c>
      <c r="N215" s="273">
        <f t="shared" si="68"/>
        <v>55.94</v>
      </c>
      <c r="O215" s="332">
        <v>60</v>
      </c>
      <c r="Q215" s="246"/>
      <c r="R215" s="474"/>
    </row>
    <row r="216" spans="1:18" ht="15">
      <c r="A216" s="706" t="s">
        <v>422</v>
      </c>
      <c r="B216" s="707"/>
      <c r="C216" s="707"/>
      <c r="D216" s="707"/>
      <c r="E216" s="708"/>
      <c r="F216" s="52">
        <f t="shared" si="69"/>
        <v>78.5</v>
      </c>
      <c r="G216" s="53">
        <f t="shared" si="64"/>
        <v>6280</v>
      </c>
      <c r="H216" s="52">
        <f t="shared" si="70"/>
        <v>73</v>
      </c>
      <c r="I216" s="53">
        <f t="shared" si="65"/>
        <v>5840</v>
      </c>
      <c r="J216" s="52">
        <f t="shared" si="71"/>
        <v>67.5</v>
      </c>
      <c r="K216" s="53">
        <f t="shared" si="66"/>
        <v>5400</v>
      </c>
      <c r="L216" s="52">
        <f t="shared" si="72"/>
        <v>64.5</v>
      </c>
      <c r="M216" s="53">
        <f t="shared" si="67"/>
        <v>5160</v>
      </c>
      <c r="N216" s="273">
        <f t="shared" si="68"/>
        <v>55.94</v>
      </c>
      <c r="O216" s="332">
        <v>80</v>
      </c>
      <c r="Q216" s="246"/>
      <c r="R216" s="474"/>
    </row>
    <row r="217" spans="1:18" ht="15">
      <c r="A217" s="706" t="s">
        <v>423</v>
      </c>
      <c r="B217" s="707"/>
      <c r="C217" s="707"/>
      <c r="D217" s="707"/>
      <c r="E217" s="708"/>
      <c r="F217" s="52">
        <f t="shared" si="69"/>
        <v>78.5</v>
      </c>
      <c r="G217" s="53">
        <f t="shared" si="64"/>
        <v>7540</v>
      </c>
      <c r="H217" s="52">
        <f t="shared" si="70"/>
        <v>73</v>
      </c>
      <c r="I217" s="53">
        <f t="shared" si="65"/>
        <v>7010</v>
      </c>
      <c r="J217" s="52">
        <f t="shared" si="71"/>
        <v>67.5</v>
      </c>
      <c r="K217" s="53">
        <f t="shared" si="66"/>
        <v>6480</v>
      </c>
      <c r="L217" s="52">
        <f t="shared" si="72"/>
        <v>64.5</v>
      </c>
      <c r="M217" s="53">
        <f t="shared" si="67"/>
        <v>6195</v>
      </c>
      <c r="N217" s="273">
        <f t="shared" si="68"/>
        <v>55.94</v>
      </c>
      <c r="O217" s="332">
        <v>96</v>
      </c>
      <c r="Q217" s="246"/>
      <c r="R217" s="474"/>
    </row>
    <row r="218" spans="1:18" ht="15">
      <c r="A218" s="706" t="s">
        <v>424</v>
      </c>
      <c r="B218" s="707"/>
      <c r="C218" s="707"/>
      <c r="D218" s="707"/>
      <c r="E218" s="708"/>
      <c r="F218" s="52">
        <f t="shared" si="69"/>
        <v>78.5</v>
      </c>
      <c r="G218" s="53">
        <f t="shared" si="64"/>
        <v>9420</v>
      </c>
      <c r="H218" s="52">
        <f t="shared" si="70"/>
        <v>73</v>
      </c>
      <c r="I218" s="53">
        <f t="shared" si="65"/>
        <v>8760</v>
      </c>
      <c r="J218" s="52">
        <f t="shared" si="71"/>
        <v>67.5</v>
      </c>
      <c r="K218" s="53">
        <f t="shared" si="66"/>
        <v>8100</v>
      </c>
      <c r="L218" s="52">
        <f t="shared" si="72"/>
        <v>64.5</v>
      </c>
      <c r="M218" s="53">
        <f t="shared" si="67"/>
        <v>7740</v>
      </c>
      <c r="N218" s="273">
        <f t="shared" si="68"/>
        <v>55.94</v>
      </c>
      <c r="O218" s="332">
        <v>120</v>
      </c>
      <c r="Q218" s="246"/>
      <c r="R218" s="488"/>
    </row>
    <row r="219" spans="1:18" ht="15">
      <c r="A219" s="706" t="s">
        <v>649</v>
      </c>
      <c r="B219" s="707"/>
      <c r="C219" s="707"/>
      <c r="D219" s="707"/>
      <c r="E219" s="708"/>
      <c r="F219" s="52">
        <f t="shared" si="69"/>
        <v>78.5</v>
      </c>
      <c r="G219" s="53">
        <f t="shared" si="64"/>
        <v>11775</v>
      </c>
      <c r="H219" s="52">
        <f t="shared" si="70"/>
        <v>73</v>
      </c>
      <c r="I219" s="53">
        <f t="shared" si="65"/>
        <v>10950</v>
      </c>
      <c r="J219" s="52">
        <f t="shared" si="71"/>
        <v>67.5</v>
      </c>
      <c r="K219" s="53">
        <f t="shared" si="66"/>
        <v>10125</v>
      </c>
      <c r="L219" s="52">
        <f t="shared" si="72"/>
        <v>64.5</v>
      </c>
      <c r="M219" s="53">
        <f t="shared" si="67"/>
        <v>9675</v>
      </c>
      <c r="N219" s="273">
        <f t="shared" si="68"/>
        <v>55.94</v>
      </c>
      <c r="O219" s="332">
        <v>150</v>
      </c>
      <c r="Q219" s="246"/>
      <c r="R219" s="488"/>
    </row>
    <row r="220" spans="1:18" ht="15">
      <c r="A220" s="706" t="s">
        <v>650</v>
      </c>
      <c r="B220" s="707"/>
      <c r="C220" s="707"/>
      <c r="D220" s="707"/>
      <c r="E220" s="708"/>
      <c r="F220" s="52">
        <f t="shared" si="69"/>
        <v>78.5</v>
      </c>
      <c r="G220" s="53">
        <f t="shared" si="64"/>
        <v>15700</v>
      </c>
      <c r="H220" s="52">
        <f t="shared" si="70"/>
        <v>73</v>
      </c>
      <c r="I220" s="53">
        <f t="shared" si="65"/>
        <v>14600</v>
      </c>
      <c r="J220" s="52">
        <f t="shared" si="71"/>
        <v>67.5</v>
      </c>
      <c r="K220" s="53">
        <f t="shared" si="66"/>
        <v>13500</v>
      </c>
      <c r="L220" s="52">
        <f t="shared" si="72"/>
        <v>64.5</v>
      </c>
      <c r="M220" s="53">
        <f t="shared" si="67"/>
        <v>12900</v>
      </c>
      <c r="N220" s="273">
        <f t="shared" si="68"/>
        <v>55.94</v>
      </c>
      <c r="O220" s="332">
        <v>200</v>
      </c>
      <c r="Q220" s="246"/>
      <c r="R220" s="488"/>
    </row>
    <row r="221" spans="1:18" ht="15">
      <c r="A221" s="706" t="s">
        <v>651</v>
      </c>
      <c r="B221" s="707"/>
      <c r="C221" s="707"/>
      <c r="D221" s="707"/>
      <c r="E221" s="708"/>
      <c r="F221" s="52">
        <f t="shared" si="69"/>
        <v>78.5</v>
      </c>
      <c r="G221" s="53">
        <f t="shared" si="64"/>
        <v>17665</v>
      </c>
      <c r="H221" s="52">
        <f t="shared" si="70"/>
        <v>73</v>
      </c>
      <c r="I221" s="53">
        <f t="shared" si="65"/>
        <v>16425</v>
      </c>
      <c r="J221" s="52">
        <f t="shared" si="71"/>
        <v>67.5</v>
      </c>
      <c r="K221" s="53">
        <f t="shared" si="66"/>
        <v>15190</v>
      </c>
      <c r="L221" s="52">
        <f t="shared" si="72"/>
        <v>64.5</v>
      </c>
      <c r="M221" s="53">
        <f t="shared" si="67"/>
        <v>14515</v>
      </c>
      <c r="N221" s="273">
        <f t="shared" si="68"/>
        <v>55.94</v>
      </c>
      <c r="O221" s="332">
        <v>225</v>
      </c>
      <c r="Q221" s="246"/>
      <c r="R221" s="488"/>
    </row>
    <row r="222" spans="1:18" ht="15">
      <c r="A222" s="706" t="s">
        <v>652</v>
      </c>
      <c r="B222" s="707"/>
      <c r="C222" s="707"/>
      <c r="D222" s="707"/>
      <c r="E222" s="708"/>
      <c r="F222" s="52">
        <f t="shared" si="69"/>
        <v>78.5</v>
      </c>
      <c r="G222" s="53">
        <f t="shared" si="64"/>
        <v>23550</v>
      </c>
      <c r="H222" s="52">
        <f t="shared" si="70"/>
        <v>73</v>
      </c>
      <c r="I222" s="53">
        <f t="shared" si="65"/>
        <v>21900</v>
      </c>
      <c r="J222" s="52">
        <f t="shared" si="71"/>
        <v>67.5</v>
      </c>
      <c r="K222" s="53">
        <f t="shared" si="66"/>
        <v>20250</v>
      </c>
      <c r="L222" s="52">
        <f t="shared" si="72"/>
        <v>64.5</v>
      </c>
      <c r="M222" s="53">
        <f t="shared" si="67"/>
        <v>19350</v>
      </c>
      <c r="N222" s="273">
        <f t="shared" si="68"/>
        <v>55.94</v>
      </c>
      <c r="O222" s="332">
        <v>300</v>
      </c>
      <c r="Q222" s="246"/>
      <c r="R222" s="488"/>
    </row>
    <row r="223" spans="1:18" ht="15">
      <c r="A223" s="706" t="s">
        <v>653</v>
      </c>
      <c r="B223" s="707"/>
      <c r="C223" s="707"/>
      <c r="D223" s="707"/>
      <c r="E223" s="708"/>
      <c r="F223" s="52">
        <f t="shared" si="69"/>
        <v>78.5</v>
      </c>
      <c r="G223" s="53">
        <f t="shared" si="64"/>
        <v>31400</v>
      </c>
      <c r="H223" s="52">
        <f t="shared" si="70"/>
        <v>73</v>
      </c>
      <c r="I223" s="53">
        <f t="shared" si="65"/>
        <v>29200</v>
      </c>
      <c r="J223" s="52">
        <f t="shared" si="71"/>
        <v>67.5</v>
      </c>
      <c r="K223" s="53">
        <f t="shared" si="66"/>
        <v>27000</v>
      </c>
      <c r="L223" s="52">
        <f t="shared" si="72"/>
        <v>64.5</v>
      </c>
      <c r="M223" s="53">
        <f t="shared" si="67"/>
        <v>25800</v>
      </c>
      <c r="N223" s="273">
        <f t="shared" si="68"/>
        <v>55.94</v>
      </c>
      <c r="O223" s="332">
        <v>400</v>
      </c>
      <c r="Q223" s="246"/>
      <c r="R223" s="488"/>
    </row>
    <row r="224" spans="1:18" ht="15.75" thickBot="1">
      <c r="A224" s="753" t="s">
        <v>654</v>
      </c>
      <c r="B224" s="754"/>
      <c r="C224" s="754"/>
      <c r="D224" s="754"/>
      <c r="E224" s="755"/>
      <c r="F224" s="50">
        <f t="shared" si="69"/>
        <v>78.5</v>
      </c>
      <c r="G224" s="51">
        <f t="shared" si="64"/>
        <v>47100</v>
      </c>
      <c r="H224" s="50">
        <f t="shared" si="70"/>
        <v>73</v>
      </c>
      <c r="I224" s="51">
        <f t="shared" si="65"/>
        <v>43800</v>
      </c>
      <c r="J224" s="50">
        <f t="shared" si="71"/>
        <v>67.5</v>
      </c>
      <c r="K224" s="51">
        <f t="shared" si="66"/>
        <v>40500</v>
      </c>
      <c r="L224" s="50">
        <f t="shared" si="72"/>
        <v>64.5</v>
      </c>
      <c r="M224" s="51">
        <f t="shared" si="67"/>
        <v>38700</v>
      </c>
      <c r="N224" s="273">
        <f t="shared" si="68"/>
        <v>55.94</v>
      </c>
      <c r="O224" s="332">
        <v>600</v>
      </c>
      <c r="Q224" s="236"/>
      <c r="R224" s="475"/>
    </row>
    <row r="225" spans="1:18" s="504" customFormat="1" ht="15.75" customHeight="1" hidden="1" thickTop="1">
      <c r="A225" s="712" t="s">
        <v>44</v>
      </c>
      <c r="B225" s="713"/>
      <c r="C225" s="713"/>
      <c r="D225" s="713"/>
      <c r="E225" s="713"/>
      <c r="F225" s="713"/>
      <c r="G225" s="713"/>
      <c r="H225" s="713"/>
      <c r="I225" s="713"/>
      <c r="J225" s="713"/>
      <c r="K225" s="713"/>
      <c r="L225" s="713"/>
      <c r="M225" s="714"/>
      <c r="N225" s="432">
        <v>150</v>
      </c>
      <c r="O225" s="332"/>
      <c r="P225" s="273"/>
      <c r="Q225" s="318"/>
      <c r="R225" s="493"/>
    </row>
    <row r="226" spans="1:18" ht="15" hidden="1">
      <c r="A226" s="733" t="s">
        <v>38</v>
      </c>
      <c r="B226" s="734"/>
      <c r="C226" s="734"/>
      <c r="D226" s="734"/>
      <c r="E226" s="735"/>
      <c r="F226" s="52">
        <f>N226</f>
        <v>150</v>
      </c>
      <c r="G226" s="53">
        <f>F226*O226</f>
        <v>3600</v>
      </c>
      <c r="H226" s="52">
        <f aca="true" t="shared" si="73" ref="H226:I228">F226*0.9</f>
        <v>135</v>
      </c>
      <c r="I226" s="53">
        <f t="shared" si="73"/>
        <v>3240</v>
      </c>
      <c r="J226" s="52">
        <f aca="true" t="shared" si="74" ref="J226:K228">F226*0.85</f>
        <v>127.5</v>
      </c>
      <c r="K226" s="53">
        <f t="shared" si="74"/>
        <v>3060</v>
      </c>
      <c r="L226" s="52">
        <f aca="true" t="shared" si="75" ref="L226:M228">F226*0.8</f>
        <v>120</v>
      </c>
      <c r="M226" s="53">
        <f t="shared" si="75"/>
        <v>2880</v>
      </c>
      <c r="N226" s="273">
        <f>N225</f>
        <v>150</v>
      </c>
      <c r="O226" s="332">
        <v>24</v>
      </c>
      <c r="Q226" s="235"/>
      <c r="R226" s="474"/>
    </row>
    <row r="227" spans="1:18" ht="15" hidden="1">
      <c r="A227" s="709" t="s">
        <v>39</v>
      </c>
      <c r="B227" s="710"/>
      <c r="C227" s="710"/>
      <c r="D227" s="710"/>
      <c r="E227" s="711"/>
      <c r="F227" s="52">
        <f>N227</f>
        <v>150</v>
      </c>
      <c r="G227" s="53">
        <f>F227*O227</f>
        <v>7200</v>
      </c>
      <c r="H227" s="52">
        <f t="shared" si="73"/>
        <v>135</v>
      </c>
      <c r="I227" s="53">
        <f t="shared" si="73"/>
        <v>6480</v>
      </c>
      <c r="J227" s="52">
        <f t="shared" si="74"/>
        <v>127.5</v>
      </c>
      <c r="K227" s="53">
        <f t="shared" si="74"/>
        <v>6120</v>
      </c>
      <c r="L227" s="52">
        <f t="shared" si="75"/>
        <v>120</v>
      </c>
      <c r="M227" s="53">
        <f t="shared" si="75"/>
        <v>5760</v>
      </c>
      <c r="N227" s="273">
        <f>N226</f>
        <v>150</v>
      </c>
      <c r="O227" s="332">
        <v>48</v>
      </c>
      <c r="Q227" s="235"/>
      <c r="R227" s="474"/>
    </row>
    <row r="228" spans="1:18" ht="15.75" hidden="1" thickBot="1">
      <c r="A228" s="811" t="s">
        <v>40</v>
      </c>
      <c r="B228" s="812"/>
      <c r="C228" s="812"/>
      <c r="D228" s="812"/>
      <c r="E228" s="813"/>
      <c r="F228" s="50">
        <f>N228</f>
        <v>150</v>
      </c>
      <c r="G228" s="51">
        <f>F228*O228</f>
        <v>12000</v>
      </c>
      <c r="H228" s="50">
        <f t="shared" si="73"/>
        <v>135</v>
      </c>
      <c r="I228" s="51">
        <f t="shared" si="73"/>
        <v>10800</v>
      </c>
      <c r="J228" s="50">
        <f t="shared" si="74"/>
        <v>127.5</v>
      </c>
      <c r="K228" s="51">
        <f t="shared" si="74"/>
        <v>10200</v>
      </c>
      <c r="L228" s="50">
        <f t="shared" si="75"/>
        <v>120</v>
      </c>
      <c r="M228" s="51">
        <f t="shared" si="75"/>
        <v>9600</v>
      </c>
      <c r="N228" s="273">
        <f>N227</f>
        <v>150</v>
      </c>
      <c r="O228" s="332">
        <v>80</v>
      </c>
      <c r="Q228" s="233"/>
      <c r="R228" s="490"/>
    </row>
    <row r="229" spans="1:18" ht="39.75" customHeight="1" thickTop="1">
      <c r="A229" s="659" t="s">
        <v>521</v>
      </c>
      <c r="B229" s="659"/>
      <c r="C229" s="659"/>
      <c r="D229" s="659"/>
      <c r="E229" s="659"/>
      <c r="F229" s="659"/>
      <c r="G229" s="659"/>
      <c r="H229" s="659"/>
      <c r="I229" s="659"/>
      <c r="J229" s="659"/>
      <c r="K229" s="659"/>
      <c r="L229" s="659"/>
      <c r="M229" s="659"/>
      <c r="Q229" s="225"/>
      <c r="R229" s="225"/>
    </row>
    <row r="230" spans="1:18" s="502" customFormat="1" ht="15.75" customHeight="1">
      <c r="A230" s="670" t="s">
        <v>96</v>
      </c>
      <c r="B230" s="672"/>
      <c r="C230" s="736" t="s">
        <v>534</v>
      </c>
      <c r="D230" s="737"/>
      <c r="E230" s="738"/>
      <c r="F230" s="673" t="s">
        <v>48</v>
      </c>
      <c r="G230" s="674"/>
      <c r="H230" s="673" t="s">
        <v>45</v>
      </c>
      <c r="I230" s="674"/>
      <c r="J230" s="673" t="s">
        <v>46</v>
      </c>
      <c r="K230" s="674"/>
      <c r="L230" s="673" t="s">
        <v>47</v>
      </c>
      <c r="M230" s="674"/>
      <c r="N230" s="275"/>
      <c r="O230" s="333"/>
      <c r="P230" s="275"/>
      <c r="Q230" s="676"/>
      <c r="R230" s="677"/>
    </row>
    <row r="231" spans="1:18" ht="15.75" customHeight="1" thickBot="1">
      <c r="A231" s="663"/>
      <c r="B231" s="665"/>
      <c r="C231" s="402" t="s">
        <v>272</v>
      </c>
      <c r="D231" s="403" t="s">
        <v>272</v>
      </c>
      <c r="E231" s="404" t="s">
        <v>272</v>
      </c>
      <c r="F231" s="182" t="s">
        <v>27</v>
      </c>
      <c r="G231" s="397" t="s">
        <v>208</v>
      </c>
      <c r="H231" s="182" t="s">
        <v>27</v>
      </c>
      <c r="I231" s="397" t="s">
        <v>208</v>
      </c>
      <c r="J231" s="182" t="s">
        <v>27</v>
      </c>
      <c r="K231" s="397" t="s">
        <v>208</v>
      </c>
      <c r="L231" s="182" t="s">
        <v>27</v>
      </c>
      <c r="M231" s="397" t="s">
        <v>208</v>
      </c>
      <c r="N231" s="44" t="s">
        <v>35</v>
      </c>
      <c r="O231" s="338"/>
      <c r="P231" s="637" t="s">
        <v>16</v>
      </c>
      <c r="Q231" s="745"/>
      <c r="R231" s="746"/>
    </row>
    <row r="232" spans="1:18" ht="15" customHeight="1" thickTop="1">
      <c r="A232" s="729" t="s">
        <v>522</v>
      </c>
      <c r="B232" s="730"/>
      <c r="C232" s="398" t="s">
        <v>347</v>
      </c>
      <c r="D232" s="398" t="s">
        <v>279</v>
      </c>
      <c r="E232" s="399" t="s">
        <v>280</v>
      </c>
      <c r="F232" s="160">
        <f>_xlfn.CEILING.MATH(N232*1.15,0.05)</f>
        <v>2.5500000000000003</v>
      </c>
      <c r="G232" s="53">
        <f>CEILING(F232*O232,10)</f>
        <v>9720</v>
      </c>
      <c r="H232" s="48">
        <f>F232-0.05</f>
        <v>2.5000000000000004</v>
      </c>
      <c r="I232" s="53">
        <f>CEILING(H232*O232,10)</f>
        <v>9530</v>
      </c>
      <c r="J232" s="48">
        <f>F232-0.1</f>
        <v>2.45</v>
      </c>
      <c r="K232" s="53">
        <f>CEILING(J232*O232,10)</f>
        <v>9340</v>
      </c>
      <c r="L232" s="48">
        <f>F232-0.15</f>
        <v>2.4000000000000004</v>
      </c>
      <c r="M232" s="53">
        <f>CEILING(L232*O232,10)</f>
        <v>9150</v>
      </c>
      <c r="N232" s="279">
        <v>2.2</v>
      </c>
      <c r="O232" s="339">
        <v>3810</v>
      </c>
      <c r="P232" s="636">
        <f>N232*O232</f>
        <v>8382</v>
      </c>
      <c r="Q232" s="744"/>
      <c r="R232" s="744"/>
    </row>
    <row r="233" spans="1:18" ht="15" customHeight="1">
      <c r="A233" s="729" t="s">
        <v>523</v>
      </c>
      <c r="B233" s="730"/>
      <c r="C233" s="400" t="s">
        <v>348</v>
      </c>
      <c r="D233" s="400" t="s">
        <v>273</v>
      </c>
      <c r="E233" s="401" t="s">
        <v>274</v>
      </c>
      <c r="F233" s="48">
        <f aca="true" t="shared" si="76" ref="F233:F242">_xlfn.CEILING.MATH(N233*1.15,0.05)</f>
        <v>2.5500000000000003</v>
      </c>
      <c r="G233" s="53">
        <f aca="true" t="shared" si="77" ref="G233:G243">CEILING(F233*O233,10)</f>
        <v>9720</v>
      </c>
      <c r="H233" s="48">
        <f aca="true" t="shared" si="78" ref="H233:H243">F233-0.05</f>
        <v>2.5000000000000004</v>
      </c>
      <c r="I233" s="53">
        <f aca="true" t="shared" si="79" ref="I233:I243">CEILING(H233*O233,10)</f>
        <v>9530</v>
      </c>
      <c r="J233" s="48">
        <f aca="true" t="shared" si="80" ref="J233:J243">F233-0.1</f>
        <v>2.45</v>
      </c>
      <c r="K233" s="53">
        <f aca="true" t="shared" si="81" ref="K233:K243">CEILING(J233*O233,10)</f>
        <v>9340</v>
      </c>
      <c r="L233" s="48">
        <f aca="true" t="shared" si="82" ref="L233:L243">F233-0.15</f>
        <v>2.4000000000000004</v>
      </c>
      <c r="M233" s="53">
        <f aca="true" t="shared" si="83" ref="M233:M243">CEILING(L233*O233,10)</f>
        <v>9150</v>
      </c>
      <c r="N233" s="279">
        <v>2.2</v>
      </c>
      <c r="O233" s="339">
        <v>3810</v>
      </c>
      <c r="P233" s="636">
        <f aca="true" t="shared" si="84" ref="P233:P242">N233*O233</f>
        <v>8382</v>
      </c>
      <c r="Q233" s="739"/>
      <c r="R233" s="739"/>
    </row>
    <row r="234" spans="1:18" ht="15" customHeight="1">
      <c r="A234" s="748" t="s">
        <v>524</v>
      </c>
      <c r="B234" s="749"/>
      <c r="C234" s="407" t="s">
        <v>345</v>
      </c>
      <c r="D234" s="407" t="s">
        <v>275</v>
      </c>
      <c r="E234" s="408" t="s">
        <v>276</v>
      </c>
      <c r="F234" s="64">
        <f t="shared" si="76"/>
        <v>2.5500000000000003</v>
      </c>
      <c r="G234" s="63">
        <f t="shared" si="77"/>
        <v>9720</v>
      </c>
      <c r="H234" s="64">
        <f t="shared" si="78"/>
        <v>2.5000000000000004</v>
      </c>
      <c r="I234" s="63">
        <f t="shared" si="79"/>
        <v>9530</v>
      </c>
      <c r="J234" s="64">
        <f t="shared" si="80"/>
        <v>2.45</v>
      </c>
      <c r="K234" s="63">
        <f t="shared" si="81"/>
        <v>9340</v>
      </c>
      <c r="L234" s="64">
        <f t="shared" si="82"/>
        <v>2.4000000000000004</v>
      </c>
      <c r="M234" s="63">
        <f t="shared" si="83"/>
        <v>9150</v>
      </c>
      <c r="N234" s="279">
        <v>2.2</v>
      </c>
      <c r="O234" s="339">
        <v>3810</v>
      </c>
      <c r="P234" s="636">
        <f t="shared" si="84"/>
        <v>8382</v>
      </c>
      <c r="Q234" s="744"/>
      <c r="R234" s="744"/>
    </row>
    <row r="235" spans="1:18" ht="15" customHeight="1" hidden="1">
      <c r="A235" s="731" t="s">
        <v>525</v>
      </c>
      <c r="B235" s="732"/>
      <c r="C235" s="527" t="s">
        <v>346</v>
      </c>
      <c r="D235" s="527" t="s">
        <v>277</v>
      </c>
      <c r="E235" s="528" t="s">
        <v>278</v>
      </c>
      <c r="F235" s="64">
        <f t="shared" si="76"/>
        <v>2.1</v>
      </c>
      <c r="G235" s="529">
        <f t="shared" si="77"/>
        <v>8010</v>
      </c>
      <c r="H235" s="254">
        <f t="shared" si="78"/>
        <v>2.0500000000000003</v>
      </c>
      <c r="I235" s="529">
        <f t="shared" si="79"/>
        <v>7820</v>
      </c>
      <c r="J235" s="254">
        <f t="shared" si="80"/>
        <v>2</v>
      </c>
      <c r="K235" s="529">
        <f t="shared" si="81"/>
        <v>7620</v>
      </c>
      <c r="L235" s="254">
        <f t="shared" si="82"/>
        <v>1.9500000000000002</v>
      </c>
      <c r="M235" s="529">
        <f t="shared" si="83"/>
        <v>7430</v>
      </c>
      <c r="N235" s="279">
        <v>1.8</v>
      </c>
      <c r="O235" s="339">
        <v>3810</v>
      </c>
      <c r="P235" s="636">
        <f t="shared" si="84"/>
        <v>6858</v>
      </c>
      <c r="Q235" s="741"/>
      <c r="R235" s="741"/>
    </row>
    <row r="236" spans="1:18" ht="15" customHeight="1">
      <c r="A236" s="742" t="s">
        <v>526</v>
      </c>
      <c r="B236" s="743"/>
      <c r="C236" s="405" t="s">
        <v>347</v>
      </c>
      <c r="D236" s="405" t="s">
        <v>279</v>
      </c>
      <c r="E236" s="406" t="s">
        <v>280</v>
      </c>
      <c r="F236" s="67">
        <f t="shared" si="76"/>
        <v>3.0500000000000003</v>
      </c>
      <c r="G236" s="53">
        <f t="shared" si="77"/>
        <v>9300</v>
      </c>
      <c r="H236" s="52">
        <f t="shared" si="78"/>
        <v>3.0000000000000004</v>
      </c>
      <c r="I236" s="53">
        <f t="shared" si="79"/>
        <v>9150</v>
      </c>
      <c r="J236" s="52">
        <f t="shared" si="80"/>
        <v>2.95</v>
      </c>
      <c r="K236" s="53">
        <f t="shared" si="81"/>
        <v>9000</v>
      </c>
      <c r="L236" s="52">
        <f t="shared" si="82"/>
        <v>2.9000000000000004</v>
      </c>
      <c r="M236" s="53">
        <f t="shared" si="83"/>
        <v>8840</v>
      </c>
      <c r="N236" s="279">
        <v>2.65</v>
      </c>
      <c r="O236" s="339">
        <v>3048</v>
      </c>
      <c r="P236" s="636">
        <f t="shared" si="84"/>
        <v>8077.2</v>
      </c>
      <c r="Q236" s="739"/>
      <c r="R236" s="739"/>
    </row>
    <row r="237" spans="1:18" ht="15" customHeight="1" thickBot="1">
      <c r="A237" s="729" t="s">
        <v>527</v>
      </c>
      <c r="B237" s="730"/>
      <c r="C237" s="400" t="s">
        <v>348</v>
      </c>
      <c r="D237" s="400" t="s">
        <v>273</v>
      </c>
      <c r="E237" s="401" t="s">
        <v>274</v>
      </c>
      <c r="F237" s="48">
        <f t="shared" si="76"/>
        <v>3.0500000000000003</v>
      </c>
      <c r="G237" s="53">
        <f t="shared" si="77"/>
        <v>9300</v>
      </c>
      <c r="H237" s="48">
        <f t="shared" si="78"/>
        <v>3.0000000000000004</v>
      </c>
      <c r="I237" s="53">
        <f t="shared" si="79"/>
        <v>9150</v>
      </c>
      <c r="J237" s="48">
        <f t="shared" si="80"/>
        <v>2.95</v>
      </c>
      <c r="K237" s="53">
        <f t="shared" si="81"/>
        <v>9000</v>
      </c>
      <c r="L237" s="48">
        <f t="shared" si="82"/>
        <v>2.9000000000000004</v>
      </c>
      <c r="M237" s="53">
        <f t="shared" si="83"/>
        <v>8840</v>
      </c>
      <c r="N237" s="279">
        <v>2.65</v>
      </c>
      <c r="O237" s="339">
        <v>3048</v>
      </c>
      <c r="P237" s="636">
        <f t="shared" si="84"/>
        <v>8077.2</v>
      </c>
      <c r="Q237" s="740"/>
      <c r="R237" s="740"/>
    </row>
    <row r="238" spans="1:18" ht="15" customHeight="1" thickTop="1">
      <c r="A238" s="748" t="s">
        <v>528</v>
      </c>
      <c r="B238" s="749"/>
      <c r="C238" s="407" t="s">
        <v>345</v>
      </c>
      <c r="D238" s="407" t="s">
        <v>275</v>
      </c>
      <c r="E238" s="408" t="s">
        <v>276</v>
      </c>
      <c r="F238" s="64">
        <f t="shared" si="76"/>
        <v>3.0500000000000003</v>
      </c>
      <c r="G238" s="63">
        <f t="shared" si="77"/>
        <v>9300</v>
      </c>
      <c r="H238" s="64">
        <f t="shared" si="78"/>
        <v>3.0000000000000004</v>
      </c>
      <c r="I238" s="63">
        <f t="shared" si="79"/>
        <v>9150</v>
      </c>
      <c r="J238" s="64">
        <f t="shared" si="80"/>
        <v>2.95</v>
      </c>
      <c r="K238" s="63">
        <f t="shared" si="81"/>
        <v>9000</v>
      </c>
      <c r="L238" s="64">
        <f t="shared" si="82"/>
        <v>2.9000000000000004</v>
      </c>
      <c r="M238" s="63">
        <f t="shared" si="83"/>
        <v>8840</v>
      </c>
      <c r="N238" s="279">
        <v>2.65</v>
      </c>
      <c r="O238" s="339">
        <v>3048</v>
      </c>
      <c r="P238" s="636">
        <f t="shared" si="84"/>
        <v>8077.2</v>
      </c>
      <c r="Q238" s="747"/>
      <c r="R238" s="747"/>
    </row>
    <row r="239" spans="1:18" ht="15" customHeight="1" hidden="1">
      <c r="A239" s="731" t="s">
        <v>529</v>
      </c>
      <c r="B239" s="732"/>
      <c r="C239" s="527" t="s">
        <v>346</v>
      </c>
      <c r="D239" s="527" t="s">
        <v>277</v>
      </c>
      <c r="E239" s="528" t="s">
        <v>278</v>
      </c>
      <c r="F239" s="52">
        <f t="shared" si="76"/>
        <v>2.25</v>
      </c>
      <c r="G239" s="529">
        <f t="shared" si="77"/>
        <v>6860</v>
      </c>
      <c r="H239" s="254">
        <f t="shared" si="78"/>
        <v>2.2</v>
      </c>
      <c r="I239" s="529">
        <f t="shared" si="79"/>
        <v>6710</v>
      </c>
      <c r="J239" s="254">
        <f t="shared" si="80"/>
        <v>2.15</v>
      </c>
      <c r="K239" s="529">
        <f t="shared" si="81"/>
        <v>6560</v>
      </c>
      <c r="L239" s="254">
        <f t="shared" si="82"/>
        <v>2.1</v>
      </c>
      <c r="M239" s="529">
        <f t="shared" si="83"/>
        <v>6410</v>
      </c>
      <c r="N239" s="279">
        <v>1.95</v>
      </c>
      <c r="O239" s="339">
        <v>3048</v>
      </c>
      <c r="P239" s="636">
        <f t="shared" si="84"/>
        <v>5943.599999999999</v>
      </c>
      <c r="Q239" s="739"/>
      <c r="R239" s="739"/>
    </row>
    <row r="240" spans="1:18" ht="15" customHeight="1">
      <c r="A240" s="742" t="s">
        <v>530</v>
      </c>
      <c r="B240" s="743"/>
      <c r="C240" s="405" t="s">
        <v>347</v>
      </c>
      <c r="D240" s="405" t="s">
        <v>279</v>
      </c>
      <c r="E240" s="406" t="s">
        <v>280</v>
      </c>
      <c r="F240" s="48">
        <f t="shared" si="76"/>
        <v>3.6</v>
      </c>
      <c r="G240" s="53">
        <f t="shared" si="77"/>
        <v>8230</v>
      </c>
      <c r="H240" s="52">
        <f t="shared" si="78"/>
        <v>3.5500000000000003</v>
      </c>
      <c r="I240" s="53">
        <f t="shared" si="79"/>
        <v>8120</v>
      </c>
      <c r="J240" s="52">
        <f t="shared" si="80"/>
        <v>3.5</v>
      </c>
      <c r="K240" s="53">
        <f t="shared" si="81"/>
        <v>8010</v>
      </c>
      <c r="L240" s="52">
        <f t="shared" si="82"/>
        <v>3.45</v>
      </c>
      <c r="M240" s="53">
        <f t="shared" si="83"/>
        <v>7890</v>
      </c>
      <c r="N240" s="279">
        <v>3.1</v>
      </c>
      <c r="O240" s="339">
        <v>2286</v>
      </c>
      <c r="P240" s="636">
        <f t="shared" si="84"/>
        <v>7086.6</v>
      </c>
      <c r="Q240" s="744"/>
      <c r="R240" s="744"/>
    </row>
    <row r="241" spans="1:18" ht="15" customHeight="1">
      <c r="A241" s="729" t="s">
        <v>531</v>
      </c>
      <c r="B241" s="730"/>
      <c r="C241" s="400" t="s">
        <v>348</v>
      </c>
      <c r="D241" s="400" t="s">
        <v>273</v>
      </c>
      <c r="E241" s="401" t="s">
        <v>274</v>
      </c>
      <c r="F241" s="48">
        <f t="shared" si="76"/>
        <v>3.6</v>
      </c>
      <c r="G241" s="53">
        <f t="shared" si="77"/>
        <v>8230</v>
      </c>
      <c r="H241" s="48">
        <f t="shared" si="78"/>
        <v>3.5500000000000003</v>
      </c>
      <c r="I241" s="53">
        <f t="shared" si="79"/>
        <v>8120</v>
      </c>
      <c r="J241" s="48">
        <f t="shared" si="80"/>
        <v>3.5</v>
      </c>
      <c r="K241" s="53">
        <f t="shared" si="81"/>
        <v>8010</v>
      </c>
      <c r="L241" s="48">
        <f t="shared" si="82"/>
        <v>3.45</v>
      </c>
      <c r="M241" s="53">
        <f t="shared" si="83"/>
        <v>7890</v>
      </c>
      <c r="N241" s="279">
        <v>3.1</v>
      </c>
      <c r="O241" s="339">
        <v>2286</v>
      </c>
      <c r="P241" s="636">
        <f t="shared" si="84"/>
        <v>7086.6</v>
      </c>
      <c r="Q241" s="741"/>
      <c r="R241" s="741"/>
    </row>
    <row r="242" spans="1:18" ht="15.75" customHeight="1" thickBot="1">
      <c r="A242" s="719" t="s">
        <v>532</v>
      </c>
      <c r="B242" s="720"/>
      <c r="C242" s="409" t="s">
        <v>345</v>
      </c>
      <c r="D242" s="409" t="s">
        <v>275</v>
      </c>
      <c r="E242" s="410" t="s">
        <v>276</v>
      </c>
      <c r="F242" s="64">
        <f t="shared" si="76"/>
        <v>3.6</v>
      </c>
      <c r="G242" s="51">
        <f t="shared" si="77"/>
        <v>8230</v>
      </c>
      <c r="H242" s="50">
        <f t="shared" si="78"/>
        <v>3.5500000000000003</v>
      </c>
      <c r="I242" s="51">
        <f t="shared" si="79"/>
        <v>8120</v>
      </c>
      <c r="J242" s="50">
        <f t="shared" si="80"/>
        <v>3.5</v>
      </c>
      <c r="K242" s="51">
        <f t="shared" si="81"/>
        <v>8010</v>
      </c>
      <c r="L242" s="50">
        <f t="shared" si="82"/>
        <v>3.45</v>
      </c>
      <c r="M242" s="51">
        <f t="shared" si="83"/>
        <v>7890</v>
      </c>
      <c r="N242" s="279">
        <v>3.1</v>
      </c>
      <c r="O242" s="339">
        <v>2286</v>
      </c>
      <c r="P242" s="636">
        <f t="shared" si="84"/>
        <v>7086.6</v>
      </c>
      <c r="Q242" s="739"/>
      <c r="R242" s="739"/>
    </row>
    <row r="243" spans="1:18" ht="15" customHeight="1" hidden="1" thickBot="1">
      <c r="A243" s="721" t="s">
        <v>533</v>
      </c>
      <c r="B243" s="722"/>
      <c r="C243" s="538" t="s">
        <v>346</v>
      </c>
      <c r="D243" s="538" t="s">
        <v>277</v>
      </c>
      <c r="E243" s="539" t="s">
        <v>278</v>
      </c>
      <c r="F243" s="298">
        <f>N243</f>
        <v>2.4</v>
      </c>
      <c r="G243" s="299">
        <f t="shared" si="77"/>
        <v>5490</v>
      </c>
      <c r="H243" s="298">
        <f t="shared" si="78"/>
        <v>2.35</v>
      </c>
      <c r="I243" s="299">
        <f t="shared" si="79"/>
        <v>5380</v>
      </c>
      <c r="J243" s="298">
        <f t="shared" si="80"/>
        <v>2.3</v>
      </c>
      <c r="K243" s="299">
        <f t="shared" si="81"/>
        <v>5260</v>
      </c>
      <c r="L243" s="298">
        <f t="shared" si="82"/>
        <v>2.25</v>
      </c>
      <c r="M243" s="299">
        <f t="shared" si="83"/>
        <v>5150</v>
      </c>
      <c r="N243" s="279">
        <v>2.4</v>
      </c>
      <c r="O243" s="339">
        <v>2286</v>
      </c>
      <c r="P243" s="636"/>
      <c r="Q243" s="740"/>
      <c r="R243" s="740"/>
    </row>
    <row r="244" spans="1:18" ht="35.25" customHeight="1" thickBot="1" thickTop="1">
      <c r="A244" s="693" t="s">
        <v>673</v>
      </c>
      <c r="B244" s="693"/>
      <c r="C244" s="693"/>
      <c r="D244" s="693"/>
      <c r="E244" s="693"/>
      <c r="F244" s="693"/>
      <c r="G244" s="693"/>
      <c r="H244" s="693"/>
      <c r="I244" s="693"/>
      <c r="J244" s="693"/>
      <c r="K244" s="693"/>
      <c r="L244" s="693"/>
      <c r="M244" s="693"/>
      <c r="N244" s="279"/>
      <c r="O244" s="339"/>
      <c r="P244" s="636"/>
      <c r="Q244" s="559"/>
      <c r="R244" s="559"/>
    </row>
    <row r="245" spans="1:18" ht="15" customHeight="1">
      <c r="A245" s="628" t="s">
        <v>672</v>
      </c>
      <c r="B245" s="629"/>
      <c r="C245" s="630"/>
      <c r="D245" s="630"/>
      <c r="E245" s="632" t="s">
        <v>274</v>
      </c>
      <c r="F245" s="634">
        <f>N245*1.15</f>
        <v>3.0475</v>
      </c>
      <c r="G245" s="635">
        <f>F245*O245</f>
        <v>7618.75</v>
      </c>
      <c r="H245" s="634">
        <f>F245-0.05</f>
        <v>2.9975</v>
      </c>
      <c r="I245" s="635">
        <f>H245*O245</f>
        <v>7493.75</v>
      </c>
      <c r="J245" s="634">
        <f>F245-0.1</f>
        <v>2.9475</v>
      </c>
      <c r="K245" s="635">
        <f>J245*O245</f>
        <v>7368.749999999999</v>
      </c>
      <c r="L245" s="634">
        <f>F245-0.15</f>
        <v>2.8975</v>
      </c>
      <c r="M245" s="635">
        <f>L245*O245</f>
        <v>7243.75</v>
      </c>
      <c r="N245" s="279">
        <v>2.65</v>
      </c>
      <c r="O245" s="339">
        <v>2500</v>
      </c>
      <c r="P245" s="636">
        <f>N245*O245</f>
        <v>6625</v>
      </c>
      <c r="Q245" s="559"/>
      <c r="R245" s="559"/>
    </row>
    <row r="246" spans="1:18" ht="15" customHeight="1" thickBot="1">
      <c r="A246" s="631" t="s">
        <v>730</v>
      </c>
      <c r="B246" s="627"/>
      <c r="C246" s="409"/>
      <c r="D246" s="409"/>
      <c r="E246" s="633" t="s">
        <v>274</v>
      </c>
      <c r="F246" s="50">
        <f>_xlfn.CEILING.MATH(N246*1.15,0.05)</f>
        <v>2.85</v>
      </c>
      <c r="G246" s="51">
        <f>F246*O246</f>
        <v>7125</v>
      </c>
      <c r="H246" s="50">
        <f>F246-0.05</f>
        <v>2.8000000000000003</v>
      </c>
      <c r="I246" s="51">
        <f>H246*O246</f>
        <v>7000.000000000001</v>
      </c>
      <c r="J246" s="50">
        <f>F246-0.1</f>
        <v>2.75</v>
      </c>
      <c r="K246" s="51">
        <f>J246*O246</f>
        <v>6875</v>
      </c>
      <c r="L246" s="50">
        <f>F246-0.15</f>
        <v>2.7</v>
      </c>
      <c r="M246" s="51">
        <f>L246*O246</f>
        <v>6750</v>
      </c>
      <c r="N246" s="279">
        <v>2.45</v>
      </c>
      <c r="O246" s="339">
        <v>2500</v>
      </c>
      <c r="P246" s="636">
        <f>N246*O246</f>
        <v>6125</v>
      </c>
      <c r="Q246" s="559"/>
      <c r="R246" s="559"/>
    </row>
    <row r="247" spans="1:18" ht="15" customHeight="1" thickTop="1">
      <c r="A247" s="561"/>
      <c r="B247" s="561"/>
      <c r="C247" s="562"/>
      <c r="D247" s="562"/>
      <c r="E247" s="562"/>
      <c r="F247" s="563"/>
      <c r="G247" s="564"/>
      <c r="H247" s="563"/>
      <c r="I247" s="564"/>
      <c r="J247" s="563"/>
      <c r="K247" s="564"/>
      <c r="L247" s="563"/>
      <c r="M247" s="564"/>
      <c r="N247" s="279"/>
      <c r="O247" s="339"/>
      <c r="Q247" s="559"/>
      <c r="R247" s="559"/>
    </row>
    <row r="248" spans="1:18" ht="15" customHeight="1">
      <c r="A248" s="561"/>
      <c r="B248" s="561"/>
      <c r="C248" s="562"/>
      <c r="D248" s="562"/>
      <c r="E248" s="562"/>
      <c r="F248" s="563"/>
      <c r="G248" s="564"/>
      <c r="H248" s="563"/>
      <c r="I248" s="564"/>
      <c r="J248" s="563"/>
      <c r="K248" s="564"/>
      <c r="L248" s="563"/>
      <c r="M248" s="564"/>
      <c r="N248" s="279"/>
      <c r="O248" s="339"/>
      <c r="Q248" s="559"/>
      <c r="R248" s="559"/>
    </row>
    <row r="249" spans="1:18" ht="15" customHeight="1">
      <c r="A249" s="561"/>
      <c r="B249" s="561"/>
      <c r="C249" s="562"/>
      <c r="D249" s="562"/>
      <c r="E249" s="562"/>
      <c r="F249" s="563"/>
      <c r="G249" s="564"/>
      <c r="H249" s="563"/>
      <c r="I249" s="564"/>
      <c r="J249" s="563"/>
      <c r="K249" s="564"/>
      <c r="L249" s="563"/>
      <c r="M249" s="564"/>
      <c r="N249" s="279"/>
      <c r="O249" s="339"/>
      <c r="Q249" s="559"/>
      <c r="R249" s="559"/>
    </row>
    <row r="250" spans="1:18" ht="15" customHeight="1">
      <c r="A250" s="561"/>
      <c r="B250" s="561"/>
      <c r="C250" s="562"/>
      <c r="D250" s="562"/>
      <c r="E250" s="562"/>
      <c r="F250" s="563"/>
      <c r="G250" s="564"/>
      <c r="H250" s="563"/>
      <c r="I250" s="564"/>
      <c r="J250" s="563"/>
      <c r="K250" s="564"/>
      <c r="L250" s="563"/>
      <c r="M250" s="564"/>
      <c r="N250" s="279"/>
      <c r="O250" s="339"/>
      <c r="Q250" s="559"/>
      <c r="R250" s="559"/>
    </row>
    <row r="251" spans="1:18" ht="15" customHeight="1">
      <c r="A251" s="561"/>
      <c r="B251" s="561"/>
      <c r="C251" s="562"/>
      <c r="D251" s="562"/>
      <c r="E251" s="562"/>
      <c r="F251" s="563"/>
      <c r="G251" s="564"/>
      <c r="H251" s="563"/>
      <c r="I251" s="564"/>
      <c r="J251" s="563"/>
      <c r="K251" s="564"/>
      <c r="L251" s="563"/>
      <c r="M251" s="564"/>
      <c r="N251" s="279"/>
      <c r="O251" s="339"/>
      <c r="Q251" s="559"/>
      <c r="R251" s="559"/>
    </row>
    <row r="252" spans="1:18" ht="15" customHeight="1">
      <c r="A252" s="561"/>
      <c r="B252" s="561"/>
      <c r="C252" s="562"/>
      <c r="D252" s="562"/>
      <c r="E252" s="562"/>
      <c r="F252" s="563"/>
      <c r="G252" s="564"/>
      <c r="H252" s="563"/>
      <c r="I252" s="564"/>
      <c r="J252" s="563"/>
      <c r="K252" s="564"/>
      <c r="L252" s="563"/>
      <c r="M252" s="564"/>
      <c r="N252" s="279"/>
      <c r="O252" s="339"/>
      <c r="Q252" s="559"/>
      <c r="R252" s="559"/>
    </row>
    <row r="253" spans="1:18" ht="15" customHeight="1">
      <c r="A253" s="561"/>
      <c r="B253" s="561"/>
      <c r="C253" s="562"/>
      <c r="D253" s="562"/>
      <c r="E253" s="562"/>
      <c r="F253" s="563"/>
      <c r="G253" s="564"/>
      <c r="H253" s="563"/>
      <c r="I253" s="564"/>
      <c r="J253" s="563"/>
      <c r="K253" s="564"/>
      <c r="L253" s="563"/>
      <c r="M253" s="564"/>
      <c r="N253" s="279"/>
      <c r="O253" s="339"/>
      <c r="Q253" s="559"/>
      <c r="R253" s="559"/>
    </row>
    <row r="254" spans="1:18" ht="38.25" customHeight="1">
      <c r="A254" s="659" t="s">
        <v>676</v>
      </c>
      <c r="B254" s="659"/>
      <c r="C254" s="659"/>
      <c r="D254" s="659"/>
      <c r="E254" s="659"/>
      <c r="F254" s="659"/>
      <c r="G254" s="659"/>
      <c r="H254" s="659"/>
      <c r="I254" s="659"/>
      <c r="J254" s="659"/>
      <c r="K254" s="659"/>
      <c r="L254" s="659"/>
      <c r="M254" s="659"/>
      <c r="Q254" s="225"/>
      <c r="R254" s="225"/>
    </row>
    <row r="255" spans="1:18" ht="15.75" customHeight="1">
      <c r="A255" s="670" t="s">
        <v>96</v>
      </c>
      <c r="B255" s="671"/>
      <c r="C255" s="671"/>
      <c r="D255" s="671"/>
      <c r="E255" s="672"/>
      <c r="F255" s="673" t="s">
        <v>48</v>
      </c>
      <c r="G255" s="674"/>
      <c r="H255" s="673" t="s">
        <v>45</v>
      </c>
      <c r="I255" s="674"/>
      <c r="J255" s="673" t="s">
        <v>46</v>
      </c>
      <c r="K255" s="674"/>
      <c r="L255" s="673" t="s">
        <v>47</v>
      </c>
      <c r="M255" s="674"/>
      <c r="N255" s="275"/>
      <c r="O255" s="333"/>
      <c r="P255" s="275"/>
      <c r="Q255" s="676"/>
      <c r="R255" s="677"/>
    </row>
    <row r="256" spans="1:18" ht="15.75" customHeight="1" thickBot="1">
      <c r="A256" s="663"/>
      <c r="B256" s="664"/>
      <c r="C256" s="664"/>
      <c r="D256" s="664"/>
      <c r="E256" s="665"/>
      <c r="F256" s="678" t="s">
        <v>90</v>
      </c>
      <c r="G256" s="679"/>
      <c r="H256" s="678" t="s">
        <v>90</v>
      </c>
      <c r="I256" s="679"/>
      <c r="J256" s="678" t="s">
        <v>90</v>
      </c>
      <c r="K256" s="679"/>
      <c r="L256" s="678" t="s">
        <v>90</v>
      </c>
      <c r="M256" s="679"/>
      <c r="N256" s="543" t="s">
        <v>647</v>
      </c>
      <c r="O256" s="338"/>
      <c r="Q256" s="683"/>
      <c r="R256" s="684"/>
    </row>
    <row r="257" spans="1:18" ht="15.75" customHeight="1" thickTop="1">
      <c r="A257" s="686" t="s">
        <v>639</v>
      </c>
      <c r="B257" s="686"/>
      <c r="C257" s="686"/>
      <c r="D257" s="686"/>
      <c r="E257" s="544" t="s">
        <v>17</v>
      </c>
      <c r="F257" s="675">
        <f aca="true" t="shared" si="85" ref="F257:F262">CEILING(N257*1.5,10)</f>
        <v>640</v>
      </c>
      <c r="G257" s="675"/>
      <c r="H257" s="675">
        <f aca="true" t="shared" si="86" ref="H257:H262">CEILING(N257*1.4,5)</f>
        <v>595</v>
      </c>
      <c r="I257" s="675"/>
      <c r="J257" s="675">
        <f aca="true" t="shared" si="87" ref="J257:J262">CEILING(N257*1.3,5)</f>
        <v>555</v>
      </c>
      <c r="K257" s="675"/>
      <c r="L257" s="675">
        <f aca="true" t="shared" si="88" ref="L257:L262">CEILING(N257*1.2,11)</f>
        <v>517</v>
      </c>
      <c r="M257" s="675"/>
      <c r="N257" s="279">
        <v>425</v>
      </c>
      <c r="O257" s="339"/>
      <c r="P257" s="325"/>
      <c r="Q257" s="669"/>
      <c r="R257" s="669"/>
    </row>
    <row r="258" spans="1:18" ht="15.75" customHeight="1">
      <c r="A258" s="687" t="s">
        <v>639</v>
      </c>
      <c r="B258" s="687"/>
      <c r="C258" s="687"/>
      <c r="D258" s="687"/>
      <c r="E258" s="545" t="s">
        <v>642</v>
      </c>
      <c r="F258" s="688">
        <f t="shared" si="85"/>
        <v>770</v>
      </c>
      <c r="G258" s="688"/>
      <c r="H258" s="688">
        <f t="shared" si="86"/>
        <v>715</v>
      </c>
      <c r="I258" s="688"/>
      <c r="J258" s="688">
        <f t="shared" si="87"/>
        <v>665</v>
      </c>
      <c r="K258" s="688"/>
      <c r="L258" s="688">
        <f t="shared" si="88"/>
        <v>616</v>
      </c>
      <c r="M258" s="688"/>
      <c r="N258" s="279">
        <v>510</v>
      </c>
      <c r="O258" s="339"/>
      <c r="P258" s="325"/>
      <c r="Q258" s="669"/>
      <c r="R258" s="669"/>
    </row>
    <row r="259" spans="1:18" ht="15.75" customHeight="1">
      <c r="A259" s="686" t="s">
        <v>640</v>
      </c>
      <c r="B259" s="686"/>
      <c r="C259" s="686"/>
      <c r="D259" s="686"/>
      <c r="E259" s="544" t="s">
        <v>643</v>
      </c>
      <c r="F259" s="675">
        <f t="shared" si="85"/>
        <v>580</v>
      </c>
      <c r="G259" s="675"/>
      <c r="H259" s="675">
        <f t="shared" si="86"/>
        <v>540</v>
      </c>
      <c r="I259" s="675"/>
      <c r="J259" s="675">
        <f t="shared" si="87"/>
        <v>500</v>
      </c>
      <c r="K259" s="675"/>
      <c r="L259" s="675">
        <f t="shared" si="88"/>
        <v>462</v>
      </c>
      <c r="M259" s="675"/>
      <c r="N259" s="279">
        <v>382.5</v>
      </c>
      <c r="O259" s="339"/>
      <c r="P259" s="325"/>
      <c r="Q259" s="669"/>
      <c r="R259" s="669"/>
    </row>
    <row r="260" spans="1:18" ht="15.75" customHeight="1">
      <c r="A260" s="687" t="s">
        <v>640</v>
      </c>
      <c r="B260" s="687"/>
      <c r="C260" s="687"/>
      <c r="D260" s="687"/>
      <c r="E260" s="545" t="s">
        <v>644</v>
      </c>
      <c r="F260" s="688">
        <f t="shared" si="85"/>
        <v>710</v>
      </c>
      <c r="G260" s="688"/>
      <c r="H260" s="688">
        <f t="shared" si="86"/>
        <v>655</v>
      </c>
      <c r="I260" s="688"/>
      <c r="J260" s="688">
        <f t="shared" si="87"/>
        <v>610</v>
      </c>
      <c r="K260" s="688"/>
      <c r="L260" s="688">
        <f t="shared" si="88"/>
        <v>561</v>
      </c>
      <c r="M260" s="688"/>
      <c r="N260" s="279">
        <v>467.5</v>
      </c>
      <c r="O260" s="339"/>
      <c r="P260" s="325"/>
      <c r="Q260" s="669"/>
      <c r="R260" s="669"/>
    </row>
    <row r="261" spans="1:18" ht="15.75" customHeight="1">
      <c r="A261" s="686" t="s">
        <v>641</v>
      </c>
      <c r="B261" s="686"/>
      <c r="C261" s="686"/>
      <c r="D261" s="686"/>
      <c r="E261" s="544" t="s">
        <v>646</v>
      </c>
      <c r="F261" s="675">
        <f t="shared" si="85"/>
        <v>250</v>
      </c>
      <c r="G261" s="675"/>
      <c r="H261" s="675">
        <f t="shared" si="86"/>
        <v>235</v>
      </c>
      <c r="I261" s="675"/>
      <c r="J261" s="675">
        <f t="shared" si="87"/>
        <v>220</v>
      </c>
      <c r="K261" s="675"/>
      <c r="L261" s="675">
        <f t="shared" si="88"/>
        <v>209</v>
      </c>
      <c r="M261" s="675"/>
      <c r="N261" s="279">
        <v>165.8</v>
      </c>
      <c r="O261" s="339"/>
      <c r="P261" s="325"/>
      <c r="Q261" s="669"/>
      <c r="R261" s="669"/>
    </row>
    <row r="262" spans="1:18" ht="15.75" customHeight="1" thickBot="1">
      <c r="A262" s="685" t="s">
        <v>641</v>
      </c>
      <c r="B262" s="685"/>
      <c r="C262" s="685"/>
      <c r="D262" s="685"/>
      <c r="E262" s="546" t="s">
        <v>645</v>
      </c>
      <c r="F262" s="668">
        <f t="shared" si="85"/>
        <v>290</v>
      </c>
      <c r="G262" s="668"/>
      <c r="H262" s="668">
        <f t="shared" si="86"/>
        <v>265</v>
      </c>
      <c r="I262" s="668"/>
      <c r="J262" s="668">
        <f t="shared" si="87"/>
        <v>245</v>
      </c>
      <c r="K262" s="668"/>
      <c r="L262" s="668">
        <f t="shared" si="88"/>
        <v>231</v>
      </c>
      <c r="M262" s="668"/>
      <c r="N262" s="279">
        <v>187</v>
      </c>
      <c r="O262" s="339"/>
      <c r="P262" s="325"/>
      <c r="Q262" s="669"/>
      <c r="R262" s="669"/>
    </row>
    <row r="263" spans="1:18" ht="38.25" customHeight="1" thickTop="1">
      <c r="A263" s="659" t="s">
        <v>682</v>
      </c>
      <c r="B263" s="659"/>
      <c r="C263" s="659"/>
      <c r="D263" s="659"/>
      <c r="E263" s="659"/>
      <c r="F263" s="659"/>
      <c r="G263" s="659"/>
      <c r="H263" s="659"/>
      <c r="I263" s="659"/>
      <c r="J263" s="659"/>
      <c r="K263" s="659"/>
      <c r="L263" s="659"/>
      <c r="M263" s="659"/>
      <c r="Q263" s="225"/>
      <c r="R263" s="225"/>
    </row>
    <row r="264" spans="1:18" ht="15.75" customHeight="1">
      <c r="A264" s="670" t="s">
        <v>683</v>
      </c>
      <c r="B264" s="671"/>
      <c r="C264" s="671"/>
      <c r="D264" s="671"/>
      <c r="E264" s="672"/>
      <c r="F264" s="673" t="s">
        <v>48</v>
      </c>
      <c r="G264" s="674"/>
      <c r="H264" s="673" t="s">
        <v>45</v>
      </c>
      <c r="I264" s="674"/>
      <c r="J264" s="673" t="s">
        <v>46</v>
      </c>
      <c r="K264" s="674"/>
      <c r="L264" s="673" t="s">
        <v>47</v>
      </c>
      <c r="M264" s="674"/>
      <c r="N264" s="275"/>
      <c r="O264" s="333"/>
      <c r="P264" s="275"/>
      <c r="Q264" s="676"/>
      <c r="R264" s="677"/>
    </row>
    <row r="265" spans="1:18" ht="15.75" customHeight="1" thickBot="1">
      <c r="A265" s="663"/>
      <c r="B265" s="664"/>
      <c r="C265" s="664"/>
      <c r="D265" s="664"/>
      <c r="E265" s="665"/>
      <c r="F265" s="678" t="s">
        <v>90</v>
      </c>
      <c r="G265" s="679"/>
      <c r="H265" s="678" t="s">
        <v>90</v>
      </c>
      <c r="I265" s="679"/>
      <c r="J265" s="678" t="s">
        <v>90</v>
      </c>
      <c r="K265" s="679"/>
      <c r="L265" s="678" t="s">
        <v>90</v>
      </c>
      <c r="M265" s="679"/>
      <c r="N265" s="543" t="s">
        <v>727</v>
      </c>
      <c r="O265" s="338"/>
      <c r="Q265" s="683"/>
      <c r="R265" s="684"/>
    </row>
    <row r="266" spans="1:18" ht="15.75" customHeight="1" thickTop="1">
      <c r="A266" s="650" t="s">
        <v>684</v>
      </c>
      <c r="B266" s="651"/>
      <c r="C266" s="651"/>
      <c r="D266" s="651"/>
      <c r="E266" s="652"/>
      <c r="F266" s="675">
        <f>CEILING(N266*1.5,10)</f>
        <v>640</v>
      </c>
      <c r="G266" s="675"/>
      <c r="H266" s="675">
        <f>CEILING(N266*1.4,10)</f>
        <v>600</v>
      </c>
      <c r="I266" s="675"/>
      <c r="J266" s="675">
        <f>CEILING(N266*1.3,10)</f>
        <v>550</v>
      </c>
      <c r="K266" s="675"/>
      <c r="L266" s="675">
        <f>CEILING(N266*1.2,10)</f>
        <v>510</v>
      </c>
      <c r="M266" s="675"/>
      <c r="N266" s="279">
        <v>422.4</v>
      </c>
      <c r="O266" s="339"/>
      <c r="P266" s="325"/>
      <c r="Q266" s="669"/>
      <c r="R266" s="669"/>
    </row>
    <row r="267" spans="1:18" ht="15.75" customHeight="1">
      <c r="A267" s="653" t="s">
        <v>685</v>
      </c>
      <c r="B267" s="654"/>
      <c r="C267" s="654"/>
      <c r="D267" s="654"/>
      <c r="E267" s="655"/>
      <c r="F267" s="675">
        <f>CEILING(N267*1.5,10)</f>
        <v>760</v>
      </c>
      <c r="G267" s="675"/>
      <c r="H267" s="675">
        <f>CEILING(N267*1.4,10)</f>
        <v>710</v>
      </c>
      <c r="I267" s="675"/>
      <c r="J267" s="675">
        <f>CEILING(N267*1.3,10)</f>
        <v>660</v>
      </c>
      <c r="K267" s="675"/>
      <c r="L267" s="675">
        <f>CEILING(N267*1.2,10)</f>
        <v>610</v>
      </c>
      <c r="M267" s="675"/>
      <c r="N267" s="279">
        <v>501.6</v>
      </c>
      <c r="O267" s="339"/>
      <c r="P267" s="325"/>
      <c r="Q267" s="669"/>
      <c r="R267" s="669"/>
    </row>
    <row r="268" spans="1:18" ht="15.75" customHeight="1" thickBot="1">
      <c r="A268" s="656" t="s">
        <v>686</v>
      </c>
      <c r="B268" s="657"/>
      <c r="C268" s="657"/>
      <c r="D268" s="657"/>
      <c r="E268" s="658"/>
      <c r="F268" s="668">
        <f>CEILING(N268*1.5,10)</f>
        <v>980</v>
      </c>
      <c r="G268" s="668"/>
      <c r="H268" s="668">
        <f>CEILING(N268*1.4,10)</f>
        <v>920</v>
      </c>
      <c r="I268" s="668"/>
      <c r="J268" s="668">
        <f>CEILING(N268*1.3,10)</f>
        <v>850</v>
      </c>
      <c r="K268" s="668"/>
      <c r="L268" s="668">
        <f>CEILING(N268*1.2,10)</f>
        <v>790</v>
      </c>
      <c r="M268" s="668"/>
      <c r="N268" s="279">
        <v>651.2</v>
      </c>
      <c r="O268" s="339"/>
      <c r="P268" s="325"/>
      <c r="Q268" s="669"/>
      <c r="R268" s="669"/>
    </row>
    <row r="269" spans="1:18" ht="38.25" customHeight="1" thickTop="1">
      <c r="A269" s="659" t="s">
        <v>677</v>
      </c>
      <c r="B269" s="659"/>
      <c r="C269" s="659"/>
      <c r="D269" s="659"/>
      <c r="E269" s="659"/>
      <c r="F269" s="659"/>
      <c r="G269" s="659"/>
      <c r="H269" s="659"/>
      <c r="I269" s="659"/>
      <c r="J269" s="659"/>
      <c r="K269" s="659"/>
      <c r="L269" s="659"/>
      <c r="M269" s="659"/>
      <c r="N269" s="279"/>
      <c r="O269" s="339"/>
      <c r="Q269" s="559"/>
      <c r="R269" s="559"/>
    </row>
    <row r="270" spans="1:18" ht="15.75" customHeight="1">
      <c r="A270" s="660" t="s">
        <v>96</v>
      </c>
      <c r="B270" s="661"/>
      <c r="C270" s="661"/>
      <c r="D270" s="661"/>
      <c r="E270" s="662"/>
      <c r="F270" s="666" t="s">
        <v>48</v>
      </c>
      <c r="G270" s="667"/>
      <c r="H270" s="666" t="s">
        <v>45</v>
      </c>
      <c r="I270" s="667"/>
      <c r="J270" s="666" t="s">
        <v>46</v>
      </c>
      <c r="K270" s="667"/>
      <c r="L270" s="666" t="s">
        <v>47</v>
      </c>
      <c r="M270" s="667"/>
      <c r="N270" s="279" t="s">
        <v>687</v>
      </c>
      <c r="O270" s="339"/>
      <c r="Q270" s="559"/>
      <c r="R270" s="559"/>
    </row>
    <row r="271" spans="1:18" ht="15.75" customHeight="1" thickBot="1">
      <c r="A271" s="663"/>
      <c r="B271" s="664"/>
      <c r="C271" s="664"/>
      <c r="D271" s="664"/>
      <c r="E271" s="665"/>
      <c r="F271" s="182" t="s">
        <v>37</v>
      </c>
      <c r="G271" s="183" t="s">
        <v>26</v>
      </c>
      <c r="H271" s="182" t="s">
        <v>37</v>
      </c>
      <c r="I271" s="183" t="s">
        <v>26</v>
      </c>
      <c r="J271" s="182" t="s">
        <v>37</v>
      </c>
      <c r="K271" s="183" t="s">
        <v>26</v>
      </c>
      <c r="L271" s="182" t="s">
        <v>37</v>
      </c>
      <c r="M271" s="183" t="s">
        <v>26</v>
      </c>
      <c r="N271" s="279"/>
      <c r="O271" s="339"/>
      <c r="Q271" s="559"/>
      <c r="R271" s="559"/>
    </row>
    <row r="272" spans="1:18" ht="15.75" customHeight="1" thickTop="1">
      <c r="A272" s="644" t="s">
        <v>678</v>
      </c>
      <c r="B272" s="645"/>
      <c r="C272" s="645"/>
      <c r="D272" s="645"/>
      <c r="E272" s="646"/>
      <c r="F272" s="579">
        <f>CEILING(N272*1.35,0.1)</f>
        <v>41.6</v>
      </c>
      <c r="G272" s="580">
        <f>F272*O272</f>
        <v>12480</v>
      </c>
      <c r="H272" s="579">
        <f>CEILING(N272*1.3,0.1)</f>
        <v>40.1</v>
      </c>
      <c r="I272" s="580">
        <f>H272*O272</f>
        <v>12030</v>
      </c>
      <c r="J272" s="579">
        <f>CEILING(N272*1.25,0.1)</f>
        <v>38.5</v>
      </c>
      <c r="K272" s="580">
        <f>J272*O272</f>
        <v>11550</v>
      </c>
      <c r="L272" s="579">
        <f>CEILING(N272*1.2,0.1)</f>
        <v>37</v>
      </c>
      <c r="M272" s="580">
        <f>L272*O272</f>
        <v>11100</v>
      </c>
      <c r="N272" s="279">
        <v>30.78</v>
      </c>
      <c r="O272" s="339">
        <v>300</v>
      </c>
      <c r="Q272" s="559"/>
      <c r="R272" s="559"/>
    </row>
    <row r="273" spans="1:18" ht="15.75" customHeight="1">
      <c r="A273" s="644" t="s">
        <v>679</v>
      </c>
      <c r="B273" s="645"/>
      <c r="C273" s="645"/>
      <c r="D273" s="645"/>
      <c r="E273" s="646"/>
      <c r="F273" s="579">
        <f>CEILING(N273*1.35,0.1)</f>
        <v>41.6</v>
      </c>
      <c r="G273" s="580">
        <f>F273*O273</f>
        <v>16640</v>
      </c>
      <c r="H273" s="579">
        <f>CEILING(N273*1.3,0.1)</f>
        <v>40.1</v>
      </c>
      <c r="I273" s="580">
        <f>H273*O273</f>
        <v>16040</v>
      </c>
      <c r="J273" s="579">
        <f>CEILING(N273*1.25,0.1)</f>
        <v>38.5</v>
      </c>
      <c r="K273" s="580">
        <f>J273*O273</f>
        <v>15400</v>
      </c>
      <c r="L273" s="579">
        <f>CEILING(N273*1.2,0.1)</f>
        <v>37</v>
      </c>
      <c r="M273" s="580">
        <f>L273*O273</f>
        <v>14800</v>
      </c>
      <c r="N273" s="279">
        <v>30.78</v>
      </c>
      <c r="O273" s="339">
        <v>400</v>
      </c>
      <c r="Q273" s="559"/>
      <c r="R273" s="559"/>
    </row>
    <row r="274" spans="1:18" ht="15.75" customHeight="1">
      <c r="A274" s="644" t="s">
        <v>680</v>
      </c>
      <c r="B274" s="645"/>
      <c r="C274" s="645"/>
      <c r="D274" s="645"/>
      <c r="E274" s="646"/>
      <c r="F274" s="579">
        <f>CEILING(N274*1.35,0.1)</f>
        <v>52.1</v>
      </c>
      <c r="G274" s="580">
        <f>F274*O274</f>
        <v>15630</v>
      </c>
      <c r="H274" s="579">
        <f>CEILING(N274*1.3,0.1)</f>
        <v>50.1</v>
      </c>
      <c r="I274" s="580">
        <f>H274*O274</f>
        <v>15030</v>
      </c>
      <c r="J274" s="579">
        <f>CEILING(N274*1.25,0.1)</f>
        <v>48.2</v>
      </c>
      <c r="K274" s="580">
        <f>J274*O274</f>
        <v>14460</v>
      </c>
      <c r="L274" s="579">
        <f>CEILING(N274*1.2,0.1)</f>
        <v>46.300000000000004</v>
      </c>
      <c r="M274" s="580">
        <f>L274*O274</f>
        <v>13890.000000000002</v>
      </c>
      <c r="N274" s="279">
        <v>38.53</v>
      </c>
      <c r="O274" s="339">
        <v>300</v>
      </c>
      <c r="Q274" s="559"/>
      <c r="R274" s="559"/>
    </row>
    <row r="275" spans="1:18" ht="15.75" customHeight="1" thickBot="1">
      <c r="A275" s="647" t="s">
        <v>681</v>
      </c>
      <c r="B275" s="648"/>
      <c r="C275" s="648"/>
      <c r="D275" s="648"/>
      <c r="E275" s="649"/>
      <c r="F275" s="582">
        <f>CEILING(N275*1.35,0.1)</f>
        <v>52.1</v>
      </c>
      <c r="G275" s="581">
        <f>F275*O275</f>
        <v>20840</v>
      </c>
      <c r="H275" s="582">
        <f>CEILING(N275*1.3,0.1)</f>
        <v>50.1</v>
      </c>
      <c r="I275" s="581">
        <f>H275*O275</f>
        <v>20040</v>
      </c>
      <c r="J275" s="582">
        <f>CEILING(N275*1.25,0.1)</f>
        <v>48.2</v>
      </c>
      <c r="K275" s="581">
        <f>J275*O275</f>
        <v>19280</v>
      </c>
      <c r="L275" s="582">
        <f>CEILING(N275*1.2,0.1)</f>
        <v>46.300000000000004</v>
      </c>
      <c r="M275" s="581">
        <f>L275*O275</f>
        <v>18520</v>
      </c>
      <c r="N275" s="279">
        <v>38.53</v>
      </c>
      <c r="O275" s="339">
        <v>400</v>
      </c>
      <c r="Q275" s="559"/>
      <c r="R275" s="559"/>
    </row>
    <row r="276" spans="1:18" ht="36" customHeight="1" thickTop="1">
      <c r="A276" s="659" t="s">
        <v>688</v>
      </c>
      <c r="B276" s="659"/>
      <c r="C276" s="659"/>
      <c r="D276" s="659"/>
      <c r="E276" s="659"/>
      <c r="F276" s="659"/>
      <c r="G276" s="659"/>
      <c r="H276" s="659"/>
      <c r="I276" s="659"/>
      <c r="J276" s="659"/>
      <c r="K276" s="659"/>
      <c r="L276" s="659"/>
      <c r="M276" s="659"/>
      <c r="Q276" s="225"/>
      <c r="R276" s="225"/>
    </row>
    <row r="277" spans="1:18" ht="15.75" customHeight="1">
      <c r="A277" s="670" t="s">
        <v>683</v>
      </c>
      <c r="B277" s="671"/>
      <c r="C277" s="671"/>
      <c r="D277" s="671"/>
      <c r="E277" s="672"/>
      <c r="F277" s="673" t="s">
        <v>48</v>
      </c>
      <c r="G277" s="674"/>
      <c r="H277" s="673" t="s">
        <v>45</v>
      </c>
      <c r="I277" s="674"/>
      <c r="J277" s="673" t="s">
        <v>46</v>
      </c>
      <c r="K277" s="674"/>
      <c r="L277" s="673" t="s">
        <v>47</v>
      </c>
      <c r="M277" s="674"/>
      <c r="N277" s="275"/>
      <c r="O277" s="333"/>
      <c r="P277" s="275"/>
      <c r="Q277" s="676"/>
      <c r="R277" s="677"/>
    </row>
    <row r="278" spans="1:18" ht="15.75" customHeight="1" thickBot="1">
      <c r="A278" s="663"/>
      <c r="B278" s="664"/>
      <c r="C278" s="664"/>
      <c r="D278" s="664"/>
      <c r="E278" s="665"/>
      <c r="F278" s="678" t="s">
        <v>90</v>
      </c>
      <c r="G278" s="679"/>
      <c r="H278" s="678" t="s">
        <v>90</v>
      </c>
      <c r="I278" s="679"/>
      <c r="J278" s="678" t="s">
        <v>90</v>
      </c>
      <c r="K278" s="679"/>
      <c r="L278" s="678" t="s">
        <v>90</v>
      </c>
      <c r="M278" s="679"/>
      <c r="N278" s="543"/>
      <c r="O278" s="338"/>
      <c r="Q278" s="683"/>
      <c r="R278" s="684"/>
    </row>
    <row r="279" spans="1:18" ht="15.75" customHeight="1" thickTop="1">
      <c r="A279" s="650" t="s">
        <v>691</v>
      </c>
      <c r="B279" s="651"/>
      <c r="C279" s="651"/>
      <c r="D279" s="651"/>
      <c r="E279" s="652"/>
      <c r="F279" s="681">
        <v>27</v>
      </c>
      <c r="G279" s="681"/>
      <c r="H279" s="681">
        <v>25</v>
      </c>
      <c r="I279" s="681"/>
      <c r="J279" s="681">
        <v>24</v>
      </c>
      <c r="K279" s="681"/>
      <c r="L279" s="681">
        <v>23</v>
      </c>
      <c r="M279" s="681"/>
      <c r="N279" s="583" t="s">
        <v>689</v>
      </c>
      <c r="O279" s="584" t="s">
        <v>690</v>
      </c>
      <c r="P279" s="325"/>
      <c r="Q279" s="669"/>
      <c r="R279" s="669"/>
    </row>
    <row r="280" spans="1:18" ht="15.75" customHeight="1">
      <c r="A280" s="653" t="s">
        <v>692</v>
      </c>
      <c r="B280" s="654"/>
      <c r="C280" s="654"/>
      <c r="D280" s="654"/>
      <c r="E280" s="655"/>
      <c r="F280" s="682">
        <v>27</v>
      </c>
      <c r="G280" s="682"/>
      <c r="H280" s="682">
        <v>25</v>
      </c>
      <c r="I280" s="682"/>
      <c r="J280" s="682">
        <v>24</v>
      </c>
      <c r="K280" s="682"/>
      <c r="L280" s="682">
        <v>23</v>
      </c>
      <c r="M280" s="682"/>
      <c r="N280" s="585">
        <v>19</v>
      </c>
      <c r="O280" s="586">
        <v>18</v>
      </c>
      <c r="P280" s="325"/>
      <c r="Q280" s="669"/>
      <c r="R280" s="669"/>
    </row>
    <row r="281" spans="1:18" ht="15.75" customHeight="1">
      <c r="A281" s="680" t="s">
        <v>695</v>
      </c>
      <c r="B281" s="680"/>
      <c r="C281" s="680"/>
      <c r="D281" s="680"/>
      <c r="E281" s="680"/>
      <c r="F281" s="682">
        <f>CEILING(N281*1.7,10)</f>
        <v>40</v>
      </c>
      <c r="G281" s="682"/>
      <c r="H281" s="682">
        <v>38</v>
      </c>
      <c r="I281" s="682"/>
      <c r="J281" s="682">
        <v>36</v>
      </c>
      <c r="K281" s="682"/>
      <c r="L281" s="682">
        <v>34</v>
      </c>
      <c r="M281" s="682"/>
      <c r="N281" s="585">
        <v>19</v>
      </c>
      <c r="O281" s="586">
        <v>18</v>
      </c>
      <c r="P281" s="325"/>
      <c r="Q281" s="669"/>
      <c r="R281" s="669"/>
    </row>
    <row r="282" spans="1:18" ht="15.75" customHeight="1">
      <c r="A282" s="680" t="s">
        <v>696</v>
      </c>
      <c r="B282" s="680"/>
      <c r="C282" s="680"/>
      <c r="D282" s="680"/>
      <c r="E282" s="680"/>
      <c r="F282" s="682">
        <v>47</v>
      </c>
      <c r="G282" s="682"/>
      <c r="H282" s="682">
        <v>45</v>
      </c>
      <c r="I282" s="682"/>
      <c r="J282" s="682">
        <v>43</v>
      </c>
      <c r="K282" s="682"/>
      <c r="L282" s="682">
        <v>41</v>
      </c>
      <c r="M282" s="682"/>
      <c r="N282" s="585">
        <v>38</v>
      </c>
      <c r="O282" s="586">
        <v>38</v>
      </c>
      <c r="P282" s="325"/>
      <c r="Q282" s="669"/>
      <c r="R282" s="669"/>
    </row>
    <row r="283" spans="1:18" ht="15.75" customHeight="1">
      <c r="A283" s="680" t="s">
        <v>697</v>
      </c>
      <c r="B283" s="680"/>
      <c r="C283" s="680"/>
      <c r="D283" s="680"/>
      <c r="E283" s="680"/>
      <c r="F283" s="682">
        <v>40</v>
      </c>
      <c r="G283" s="682"/>
      <c r="H283" s="682">
        <v>38</v>
      </c>
      <c r="I283" s="682"/>
      <c r="J283" s="682">
        <v>36</v>
      </c>
      <c r="K283" s="682"/>
      <c r="L283" s="682">
        <v>34</v>
      </c>
      <c r="M283" s="682"/>
      <c r="N283" s="585">
        <v>29</v>
      </c>
      <c r="O283" s="586">
        <v>28</v>
      </c>
      <c r="P283" s="325"/>
      <c r="Q283" s="669"/>
      <c r="R283" s="669"/>
    </row>
    <row r="284" spans="1:18" ht="15.75" customHeight="1">
      <c r="A284" s="680" t="s">
        <v>698</v>
      </c>
      <c r="B284" s="680"/>
      <c r="C284" s="680"/>
      <c r="D284" s="680"/>
      <c r="E284" s="680"/>
      <c r="F284" s="682">
        <v>40</v>
      </c>
      <c r="G284" s="682"/>
      <c r="H284" s="682">
        <v>38</v>
      </c>
      <c r="I284" s="682"/>
      <c r="J284" s="682">
        <v>36</v>
      </c>
      <c r="K284" s="682"/>
      <c r="L284" s="682">
        <v>34</v>
      </c>
      <c r="M284" s="682"/>
      <c r="N284" s="585">
        <v>29</v>
      </c>
      <c r="O284" s="586">
        <v>28</v>
      </c>
      <c r="P284" s="325"/>
      <c r="Q284" s="669"/>
      <c r="R284" s="669"/>
    </row>
    <row r="285" spans="1:18" ht="15.75" customHeight="1">
      <c r="A285" s="680" t="s">
        <v>699</v>
      </c>
      <c r="B285" s="680"/>
      <c r="C285" s="680"/>
      <c r="D285" s="680"/>
      <c r="E285" s="680"/>
      <c r="F285" s="682">
        <v>40</v>
      </c>
      <c r="G285" s="682"/>
      <c r="H285" s="682">
        <v>38</v>
      </c>
      <c r="I285" s="682"/>
      <c r="J285" s="682">
        <v>36</v>
      </c>
      <c r="K285" s="682"/>
      <c r="L285" s="682">
        <v>34</v>
      </c>
      <c r="M285" s="682"/>
      <c r="N285" s="585">
        <v>29</v>
      </c>
      <c r="O285" s="586">
        <v>28</v>
      </c>
      <c r="P285" s="325"/>
      <c r="Q285" s="669"/>
      <c r="R285" s="669"/>
    </row>
    <row r="286" spans="1:18" ht="15.75" customHeight="1">
      <c r="A286" s="680" t="s">
        <v>700</v>
      </c>
      <c r="B286" s="680"/>
      <c r="C286" s="680"/>
      <c r="D286" s="680"/>
      <c r="E286" s="680"/>
      <c r="F286" s="682">
        <v>40</v>
      </c>
      <c r="G286" s="682"/>
      <c r="H286" s="682">
        <v>38</v>
      </c>
      <c r="I286" s="682"/>
      <c r="J286" s="682">
        <v>36</v>
      </c>
      <c r="K286" s="682"/>
      <c r="L286" s="682">
        <v>34</v>
      </c>
      <c r="M286" s="682"/>
      <c r="N286" s="585">
        <v>29</v>
      </c>
      <c r="O286" s="586">
        <v>28</v>
      </c>
      <c r="P286" s="325"/>
      <c r="Q286" s="669"/>
      <c r="R286" s="669"/>
    </row>
    <row r="287" spans="1:18" ht="15.75" customHeight="1">
      <c r="A287" s="680" t="s">
        <v>693</v>
      </c>
      <c r="B287" s="680"/>
      <c r="C287" s="680"/>
      <c r="D287" s="680"/>
      <c r="E287" s="680"/>
      <c r="F287" s="682">
        <v>40</v>
      </c>
      <c r="G287" s="682"/>
      <c r="H287" s="682">
        <v>38</v>
      </c>
      <c r="I287" s="682"/>
      <c r="J287" s="682">
        <v>36</v>
      </c>
      <c r="K287" s="682"/>
      <c r="L287" s="682">
        <v>34</v>
      </c>
      <c r="M287" s="682"/>
      <c r="N287" s="585">
        <v>29</v>
      </c>
      <c r="O287" s="586">
        <v>28</v>
      </c>
      <c r="P287" s="325"/>
      <c r="Q287" s="669"/>
      <c r="R287" s="669"/>
    </row>
    <row r="288" spans="1:18" ht="15.75" customHeight="1">
      <c r="A288" s="680" t="s">
        <v>694</v>
      </c>
      <c r="B288" s="680"/>
      <c r="C288" s="680"/>
      <c r="D288" s="680"/>
      <c r="E288" s="680"/>
      <c r="F288" s="682">
        <v>40</v>
      </c>
      <c r="G288" s="682"/>
      <c r="H288" s="682">
        <v>38</v>
      </c>
      <c r="I288" s="682"/>
      <c r="J288" s="682">
        <v>36</v>
      </c>
      <c r="K288" s="682"/>
      <c r="L288" s="682">
        <v>34</v>
      </c>
      <c r="M288" s="682"/>
      <c r="N288" s="585">
        <v>29</v>
      </c>
      <c r="O288" s="586">
        <v>28</v>
      </c>
      <c r="P288" s="325"/>
      <c r="Q288" s="669"/>
      <c r="R288" s="669"/>
    </row>
    <row r="289" spans="1:18" ht="15.75" customHeight="1">
      <c r="A289" s="980" t="s">
        <v>725</v>
      </c>
      <c r="B289" s="980"/>
      <c r="C289" s="980"/>
      <c r="D289" s="980"/>
      <c r="E289" s="980"/>
      <c r="F289" s="979">
        <v>47</v>
      </c>
      <c r="G289" s="979"/>
      <c r="H289" s="979">
        <v>45</v>
      </c>
      <c r="I289" s="979"/>
      <c r="J289" s="979">
        <v>43</v>
      </c>
      <c r="K289" s="979"/>
      <c r="L289" s="979">
        <v>41</v>
      </c>
      <c r="M289" s="979"/>
      <c r="N289" s="585">
        <v>29</v>
      </c>
      <c r="O289" s="586">
        <v>28</v>
      </c>
      <c r="P289" s="325"/>
      <c r="Q289" s="669"/>
      <c r="R289" s="669"/>
    </row>
    <row r="290" spans="1:18" ht="15.75" customHeight="1" thickBot="1">
      <c r="A290" s="656" t="s">
        <v>701</v>
      </c>
      <c r="B290" s="657"/>
      <c r="C290" s="657"/>
      <c r="D290" s="657"/>
      <c r="E290" s="658"/>
      <c r="F290" s="668">
        <v>2.6</v>
      </c>
      <c r="G290" s="668"/>
      <c r="H290" s="668">
        <v>2.4</v>
      </c>
      <c r="I290" s="668"/>
      <c r="J290" s="668">
        <v>2.2</v>
      </c>
      <c r="K290" s="668"/>
      <c r="L290" s="668">
        <v>2</v>
      </c>
      <c r="M290" s="668"/>
      <c r="N290" s="585">
        <v>1.7</v>
      </c>
      <c r="O290" s="586">
        <v>1.7</v>
      </c>
      <c r="P290" s="325"/>
      <c r="Q290" s="559"/>
      <c r="R290" s="559"/>
    </row>
    <row r="291" spans="1:18" ht="37.5" customHeight="1" thickTop="1">
      <c r="A291" s="659" t="s">
        <v>627</v>
      </c>
      <c r="B291" s="659"/>
      <c r="C291" s="659"/>
      <c r="D291" s="659"/>
      <c r="E291" s="659"/>
      <c r="F291" s="659"/>
      <c r="G291" s="659"/>
      <c r="H291" s="659"/>
      <c r="I291" s="659"/>
      <c r="J291" s="659"/>
      <c r="K291" s="659"/>
      <c r="L291" s="659"/>
      <c r="M291" s="659"/>
      <c r="Q291" s="225"/>
      <c r="R291" s="225"/>
    </row>
    <row r="292" spans="1:18" ht="15.75" customHeight="1">
      <c r="A292" s="670" t="s">
        <v>96</v>
      </c>
      <c r="B292" s="671"/>
      <c r="C292" s="671"/>
      <c r="D292" s="672"/>
      <c r="E292" s="803"/>
      <c r="F292" s="673" t="s">
        <v>48</v>
      </c>
      <c r="G292" s="674"/>
      <c r="H292" s="673" t="s">
        <v>45</v>
      </c>
      <c r="I292" s="674"/>
      <c r="J292" s="673" t="s">
        <v>46</v>
      </c>
      <c r="K292" s="674"/>
      <c r="L292" s="673" t="s">
        <v>47</v>
      </c>
      <c r="M292" s="674"/>
      <c r="N292" s="970"/>
      <c r="O292" s="971"/>
      <c r="Q292" s="676"/>
      <c r="R292" s="677"/>
    </row>
    <row r="293" spans="1:18" ht="15.75" customHeight="1" thickBot="1">
      <c r="A293" s="663"/>
      <c r="B293" s="664"/>
      <c r="C293" s="664"/>
      <c r="D293" s="665"/>
      <c r="E293" s="804"/>
      <c r="F293" s="977" t="s">
        <v>90</v>
      </c>
      <c r="G293" s="977"/>
      <c r="H293" s="977" t="s">
        <v>90</v>
      </c>
      <c r="I293" s="977"/>
      <c r="J293" s="977" t="s">
        <v>90</v>
      </c>
      <c r="K293" s="977"/>
      <c r="L293" s="977" t="s">
        <v>90</v>
      </c>
      <c r="M293" s="977"/>
      <c r="N293" s="280" t="s">
        <v>16</v>
      </c>
      <c r="O293" s="340"/>
      <c r="Q293" s="745"/>
      <c r="R293" s="746"/>
    </row>
    <row r="294" spans="1:18" ht="15.75" customHeight="1" thickTop="1">
      <c r="A294" s="966" t="s">
        <v>637</v>
      </c>
      <c r="B294" s="966"/>
      <c r="C294" s="966"/>
      <c r="D294" s="966"/>
      <c r="E294" s="525"/>
      <c r="F294" s="978">
        <f>CEILING(N294*1.35,5)</f>
        <v>360</v>
      </c>
      <c r="G294" s="978"/>
      <c r="H294" s="978">
        <f>CEILING(N294*1.3,1)</f>
        <v>345</v>
      </c>
      <c r="I294" s="978"/>
      <c r="J294" s="978">
        <f>CEILING(N294*1.25,1)</f>
        <v>332</v>
      </c>
      <c r="K294" s="978"/>
      <c r="L294" s="978">
        <f>CEILING(N294*1.2,1)</f>
        <v>318</v>
      </c>
      <c r="M294" s="978"/>
      <c r="N294" s="281">
        <v>265</v>
      </c>
      <c r="O294" s="341"/>
      <c r="Q294" s="933"/>
      <c r="R294" s="933"/>
    </row>
    <row r="295" spans="1:18" ht="15.75" customHeight="1">
      <c r="A295" s="965" t="s">
        <v>629</v>
      </c>
      <c r="B295" s="965"/>
      <c r="C295" s="965"/>
      <c r="D295" s="965"/>
      <c r="E295" s="152"/>
      <c r="F295" s="968">
        <f aca="true" t="shared" si="89" ref="F295:F305">CEILING(N295*1.35,5)</f>
        <v>540</v>
      </c>
      <c r="G295" s="968"/>
      <c r="H295" s="968">
        <f aca="true" t="shared" si="90" ref="H295:H305">CEILING(N295*1.3,1)</f>
        <v>517</v>
      </c>
      <c r="I295" s="968"/>
      <c r="J295" s="968">
        <f aca="true" t="shared" si="91" ref="J295:J305">CEILING(N295*1.25,1)</f>
        <v>497</v>
      </c>
      <c r="K295" s="968"/>
      <c r="L295" s="968">
        <f aca="true" t="shared" si="92" ref="L295:L305">CEILING(N295*1.2,1)</f>
        <v>477</v>
      </c>
      <c r="M295" s="968"/>
      <c r="N295" s="281">
        <v>397</v>
      </c>
      <c r="O295" s="341"/>
      <c r="Q295" s="936"/>
      <c r="R295" s="936"/>
    </row>
    <row r="296" spans="1:18" ht="15.75" customHeight="1">
      <c r="A296" s="967" t="s">
        <v>628</v>
      </c>
      <c r="B296" s="967"/>
      <c r="C296" s="967"/>
      <c r="D296" s="967"/>
      <c r="E296" s="151"/>
      <c r="F296" s="968">
        <f t="shared" si="89"/>
        <v>620</v>
      </c>
      <c r="G296" s="968"/>
      <c r="H296" s="968">
        <f t="shared" si="90"/>
        <v>596</v>
      </c>
      <c r="I296" s="968"/>
      <c r="J296" s="968">
        <f t="shared" si="91"/>
        <v>573</v>
      </c>
      <c r="K296" s="968"/>
      <c r="L296" s="968">
        <f t="shared" si="92"/>
        <v>550</v>
      </c>
      <c r="M296" s="968"/>
      <c r="N296" s="281">
        <v>458</v>
      </c>
      <c r="O296" s="341"/>
      <c r="Q296" s="936"/>
      <c r="R296" s="936"/>
    </row>
    <row r="297" spans="1:18" ht="15.75" customHeight="1">
      <c r="A297" s="976" t="s">
        <v>630</v>
      </c>
      <c r="B297" s="976"/>
      <c r="C297" s="976"/>
      <c r="D297" s="976"/>
      <c r="E297" s="153"/>
      <c r="F297" s="940">
        <f t="shared" si="89"/>
        <v>770</v>
      </c>
      <c r="G297" s="940"/>
      <c r="H297" s="940">
        <f t="shared" si="90"/>
        <v>738</v>
      </c>
      <c r="I297" s="940"/>
      <c r="J297" s="940">
        <f t="shared" si="91"/>
        <v>709</v>
      </c>
      <c r="K297" s="940"/>
      <c r="L297" s="940">
        <f t="shared" si="92"/>
        <v>681</v>
      </c>
      <c r="M297" s="940"/>
      <c r="N297" s="281">
        <v>567</v>
      </c>
      <c r="O297" s="341"/>
      <c r="Q297" s="935"/>
      <c r="R297" s="935"/>
    </row>
    <row r="298" spans="1:18" ht="15.75" customHeight="1">
      <c r="A298" s="965" t="s">
        <v>636</v>
      </c>
      <c r="B298" s="965"/>
      <c r="C298" s="965"/>
      <c r="D298" s="965"/>
      <c r="E298" s="152"/>
      <c r="F298" s="969">
        <f t="shared" si="89"/>
        <v>80</v>
      </c>
      <c r="G298" s="969"/>
      <c r="H298" s="969">
        <f t="shared" si="90"/>
        <v>77</v>
      </c>
      <c r="I298" s="969"/>
      <c r="J298" s="969">
        <f t="shared" si="91"/>
        <v>74</v>
      </c>
      <c r="K298" s="969"/>
      <c r="L298" s="969">
        <f t="shared" si="92"/>
        <v>71</v>
      </c>
      <c r="M298" s="969"/>
      <c r="N298" s="281">
        <v>59</v>
      </c>
      <c r="O298" s="341"/>
      <c r="Q298" s="933"/>
      <c r="R298" s="933"/>
    </row>
    <row r="299" spans="1:18" ht="15.75" customHeight="1">
      <c r="A299" s="965" t="s">
        <v>635</v>
      </c>
      <c r="B299" s="965"/>
      <c r="C299" s="965"/>
      <c r="D299" s="965"/>
      <c r="E299" s="151"/>
      <c r="F299" s="968">
        <f t="shared" si="89"/>
        <v>90</v>
      </c>
      <c r="G299" s="968"/>
      <c r="H299" s="968">
        <f t="shared" si="90"/>
        <v>82</v>
      </c>
      <c r="I299" s="968"/>
      <c r="J299" s="968">
        <f t="shared" si="91"/>
        <v>79</v>
      </c>
      <c r="K299" s="968"/>
      <c r="L299" s="968">
        <f t="shared" si="92"/>
        <v>76</v>
      </c>
      <c r="M299" s="968"/>
      <c r="N299" s="281">
        <v>63</v>
      </c>
      <c r="O299" s="341"/>
      <c r="Q299" s="936"/>
      <c r="R299" s="936"/>
    </row>
    <row r="300" spans="1:18" ht="15.75" customHeight="1">
      <c r="A300" s="965" t="s">
        <v>675</v>
      </c>
      <c r="B300" s="965"/>
      <c r="C300" s="965"/>
      <c r="D300" s="965"/>
      <c r="E300" s="151"/>
      <c r="F300" s="968">
        <f t="shared" si="89"/>
        <v>95</v>
      </c>
      <c r="G300" s="968"/>
      <c r="H300" s="968">
        <f t="shared" si="90"/>
        <v>88</v>
      </c>
      <c r="I300" s="968"/>
      <c r="J300" s="968">
        <f t="shared" si="91"/>
        <v>84</v>
      </c>
      <c r="K300" s="968"/>
      <c r="L300" s="968">
        <f t="shared" si="92"/>
        <v>81</v>
      </c>
      <c r="M300" s="968"/>
      <c r="N300" s="281">
        <v>67</v>
      </c>
      <c r="O300" s="341"/>
      <c r="Q300" s="935"/>
      <c r="R300" s="935"/>
    </row>
    <row r="301" spans="1:18" ht="15.75" customHeight="1">
      <c r="A301" s="965" t="s">
        <v>634</v>
      </c>
      <c r="B301" s="965"/>
      <c r="C301" s="965"/>
      <c r="D301" s="965"/>
      <c r="E301" s="151"/>
      <c r="F301" s="939">
        <f t="shared" si="89"/>
        <v>100</v>
      </c>
      <c r="G301" s="939"/>
      <c r="H301" s="939">
        <f t="shared" si="90"/>
        <v>97</v>
      </c>
      <c r="I301" s="939"/>
      <c r="J301" s="939">
        <f t="shared" si="91"/>
        <v>93</v>
      </c>
      <c r="K301" s="939"/>
      <c r="L301" s="939">
        <f t="shared" si="92"/>
        <v>89</v>
      </c>
      <c r="M301" s="939"/>
      <c r="N301" s="281">
        <v>74</v>
      </c>
      <c r="O301" s="624" t="s">
        <v>728</v>
      </c>
      <c r="Q301" s="933"/>
      <c r="R301" s="933"/>
    </row>
    <row r="302" spans="1:18" ht="15.75" customHeight="1">
      <c r="A302" s="976" t="s">
        <v>638</v>
      </c>
      <c r="B302" s="976"/>
      <c r="C302" s="976"/>
      <c r="D302" s="976"/>
      <c r="E302" s="153"/>
      <c r="F302" s="939">
        <f t="shared" si="89"/>
        <v>115</v>
      </c>
      <c r="G302" s="939"/>
      <c r="H302" s="939">
        <f t="shared" si="90"/>
        <v>107</v>
      </c>
      <c r="I302" s="939"/>
      <c r="J302" s="939">
        <f t="shared" si="91"/>
        <v>103</v>
      </c>
      <c r="K302" s="939"/>
      <c r="L302" s="939">
        <f t="shared" si="92"/>
        <v>99</v>
      </c>
      <c r="M302" s="939"/>
      <c r="N302" s="281">
        <v>82</v>
      </c>
      <c r="O302" s="341"/>
      <c r="Q302" s="933"/>
      <c r="R302" s="933"/>
    </row>
    <row r="303" spans="1:18" ht="15.75" customHeight="1">
      <c r="A303" s="972" t="s">
        <v>633</v>
      </c>
      <c r="B303" s="972"/>
      <c r="C303" s="972"/>
      <c r="D303" s="972"/>
      <c r="E303" s="526"/>
      <c r="F303" s="973">
        <f t="shared" si="89"/>
        <v>540</v>
      </c>
      <c r="G303" s="974"/>
      <c r="H303" s="973">
        <f t="shared" si="90"/>
        <v>517</v>
      </c>
      <c r="I303" s="974"/>
      <c r="J303" s="975">
        <f t="shared" si="91"/>
        <v>497</v>
      </c>
      <c r="K303" s="975"/>
      <c r="L303" s="975">
        <f t="shared" si="92"/>
        <v>477</v>
      </c>
      <c r="M303" s="975"/>
      <c r="N303" s="281">
        <v>397</v>
      </c>
      <c r="O303" s="341">
        <v>312</v>
      </c>
      <c r="Q303" s="936"/>
      <c r="R303" s="936"/>
    </row>
    <row r="304" spans="1:18" ht="15.75" customHeight="1">
      <c r="A304" s="965" t="s">
        <v>631</v>
      </c>
      <c r="B304" s="965"/>
      <c r="C304" s="965"/>
      <c r="D304" s="965"/>
      <c r="E304" s="152"/>
      <c r="F304" s="969">
        <f t="shared" si="89"/>
        <v>145</v>
      </c>
      <c r="G304" s="969"/>
      <c r="H304" s="969">
        <f t="shared" si="90"/>
        <v>138</v>
      </c>
      <c r="I304" s="969"/>
      <c r="J304" s="969">
        <f t="shared" si="91"/>
        <v>133</v>
      </c>
      <c r="K304" s="969"/>
      <c r="L304" s="969">
        <f t="shared" si="92"/>
        <v>128</v>
      </c>
      <c r="M304" s="969"/>
      <c r="N304" s="281">
        <v>106</v>
      </c>
      <c r="O304" s="341"/>
      <c r="Q304" s="935"/>
      <c r="R304" s="935"/>
    </row>
    <row r="305" spans="1:18" ht="15.75" customHeight="1">
      <c r="A305" s="964" t="s">
        <v>632</v>
      </c>
      <c r="B305" s="964"/>
      <c r="C305" s="964"/>
      <c r="D305" s="964"/>
      <c r="E305" s="566"/>
      <c r="F305" s="940">
        <f t="shared" si="89"/>
        <v>295</v>
      </c>
      <c r="G305" s="940"/>
      <c r="H305" s="940">
        <f t="shared" si="90"/>
        <v>281</v>
      </c>
      <c r="I305" s="940"/>
      <c r="J305" s="940">
        <f t="shared" si="91"/>
        <v>270</v>
      </c>
      <c r="K305" s="940"/>
      <c r="L305" s="940">
        <f t="shared" si="92"/>
        <v>260</v>
      </c>
      <c r="M305" s="940"/>
      <c r="N305" s="281">
        <v>216</v>
      </c>
      <c r="O305" s="341"/>
      <c r="Q305" s="933"/>
      <c r="R305" s="933"/>
    </row>
    <row r="306" spans="1:18" ht="15.75" customHeight="1" thickBot="1">
      <c r="A306" s="697" t="s">
        <v>674</v>
      </c>
      <c r="B306" s="697"/>
      <c r="C306" s="697"/>
      <c r="D306" s="697"/>
      <c r="E306" s="567"/>
      <c r="F306" s="723">
        <f>CEILING(N306*1.6,5)</f>
        <v>140</v>
      </c>
      <c r="G306" s="724"/>
      <c r="H306" s="718">
        <f>CEILING(N306*1.5,5)</f>
        <v>130</v>
      </c>
      <c r="I306" s="718"/>
      <c r="J306" s="718">
        <f>CEILING(N306*1.4,1)</f>
        <v>121</v>
      </c>
      <c r="K306" s="718"/>
      <c r="L306" s="718">
        <f>CEILING(N306*1.3,1)</f>
        <v>112</v>
      </c>
      <c r="M306" s="718"/>
      <c r="N306" s="281">
        <v>86</v>
      </c>
      <c r="O306" s="341"/>
      <c r="Q306" s="565"/>
      <c r="R306" s="565"/>
    </row>
    <row r="307" spans="1:18" ht="39.75" customHeight="1" thickTop="1">
      <c r="A307" s="659" t="s">
        <v>579</v>
      </c>
      <c r="B307" s="659"/>
      <c r="C307" s="659"/>
      <c r="D307" s="659"/>
      <c r="E307" s="659"/>
      <c r="F307" s="659"/>
      <c r="G307" s="659"/>
      <c r="H307" s="659"/>
      <c r="I307" s="659"/>
      <c r="J307" s="659"/>
      <c r="K307" s="659"/>
      <c r="L307" s="659"/>
      <c r="M307" s="659"/>
      <c r="Q307" s="225"/>
      <c r="R307" s="225"/>
    </row>
    <row r="308" spans="1:18" ht="15.75" customHeight="1">
      <c r="A308" s="803" t="s">
        <v>84</v>
      </c>
      <c r="B308" s="670" t="s">
        <v>85</v>
      </c>
      <c r="C308" s="671"/>
      <c r="D308" s="672"/>
      <c r="E308" s="185" t="s">
        <v>495</v>
      </c>
      <c r="F308" s="701" t="s">
        <v>48</v>
      </c>
      <c r="G308" s="702"/>
      <c r="H308" s="701" t="s">
        <v>45</v>
      </c>
      <c r="I308" s="702"/>
      <c r="J308" s="701" t="s">
        <v>46</v>
      </c>
      <c r="K308" s="702"/>
      <c r="L308" s="701" t="s">
        <v>47</v>
      </c>
      <c r="M308" s="702"/>
      <c r="N308" s="756" t="s">
        <v>83</v>
      </c>
      <c r="O308" s="757"/>
      <c r="Q308" s="758"/>
      <c r="R308" s="759"/>
    </row>
    <row r="309" spans="1:18" ht="15.75" customHeight="1" thickBot="1">
      <c r="A309" s="804"/>
      <c r="B309" s="663"/>
      <c r="C309" s="664"/>
      <c r="D309" s="665"/>
      <c r="E309" s="188" t="s">
        <v>496</v>
      </c>
      <c r="F309" s="182" t="s">
        <v>27</v>
      </c>
      <c r="G309" s="183" t="s">
        <v>26</v>
      </c>
      <c r="H309" s="182" t="s">
        <v>27</v>
      </c>
      <c r="I309" s="183" t="s">
        <v>26</v>
      </c>
      <c r="J309" s="182" t="s">
        <v>27</v>
      </c>
      <c r="K309" s="183" t="s">
        <v>26</v>
      </c>
      <c r="L309" s="182" t="s">
        <v>27</v>
      </c>
      <c r="M309" s="183" t="s">
        <v>26</v>
      </c>
      <c r="N309" s="282" t="s">
        <v>252</v>
      </c>
      <c r="O309" s="342" t="s">
        <v>65</v>
      </c>
      <c r="Q309" s="229"/>
      <c r="R309" s="461"/>
    </row>
    <row r="310" spans="1:18" s="505" customFormat="1" ht="15.75" customHeight="1" thickTop="1">
      <c r="A310" s="330" t="s">
        <v>178</v>
      </c>
      <c r="B310" s="806" t="s">
        <v>251</v>
      </c>
      <c r="C310" s="806"/>
      <c r="D310" s="806"/>
      <c r="E310" s="344" t="s">
        <v>212</v>
      </c>
      <c r="F310" s="435">
        <f>G310/P310</f>
        <v>44</v>
      </c>
      <c r="G310" s="457">
        <f>CEILING(O310*1.3,10)</f>
        <v>2200</v>
      </c>
      <c r="H310" s="435">
        <f>I310/P310</f>
        <v>42.3</v>
      </c>
      <c r="I310" s="457">
        <f>CEILING(O310*1.25,5)</f>
        <v>2115</v>
      </c>
      <c r="J310" s="435">
        <f>K310/P310</f>
        <v>40.6</v>
      </c>
      <c r="K310" s="457">
        <f>CEILING(O310*1.2,5)</f>
        <v>2030</v>
      </c>
      <c r="L310" s="435">
        <f>M310/P310</f>
        <v>38.9</v>
      </c>
      <c r="M310" s="457">
        <f>CEILING(O310*1.15,5)</f>
        <v>1945</v>
      </c>
      <c r="N310" s="436">
        <v>20</v>
      </c>
      <c r="O310" s="442">
        <v>1690</v>
      </c>
      <c r="P310" s="437">
        <v>50</v>
      </c>
      <c r="Q310" s="438"/>
      <c r="R310" s="494"/>
    </row>
    <row r="311" spans="1:18" s="506" customFormat="1" ht="15" customHeight="1">
      <c r="A311" s="439" t="s">
        <v>441</v>
      </c>
      <c r="B311" s="760" t="s">
        <v>584</v>
      </c>
      <c r="C311" s="761"/>
      <c r="D311" s="762"/>
      <c r="E311" s="440" t="s">
        <v>66</v>
      </c>
      <c r="F311" s="328">
        <f aca="true" t="shared" si="93" ref="F311:F327">G311/P311</f>
        <v>299.3333333333333</v>
      </c>
      <c r="G311" s="433">
        <f aca="true" t="shared" si="94" ref="G311:G327">CEILING(O311*1.3,10)</f>
        <v>8980</v>
      </c>
      <c r="H311" s="328">
        <f aca="true" t="shared" si="95" ref="H311:H327">I311/P311</f>
        <v>287.8333333333333</v>
      </c>
      <c r="I311" s="433">
        <f aca="true" t="shared" si="96" ref="I311:I327">CEILING(O311*1.25,5)</f>
        <v>8635</v>
      </c>
      <c r="J311" s="328">
        <f aca="true" t="shared" si="97" ref="J311:J327">K311/P311</f>
        <v>276.3333333333333</v>
      </c>
      <c r="K311" s="433">
        <f aca="true" t="shared" si="98" ref="K311:K327">CEILING(O311*1.2,5)</f>
        <v>8290</v>
      </c>
      <c r="L311" s="328">
        <f aca="true" t="shared" si="99" ref="L311:L327">M311/P311</f>
        <v>264.8</v>
      </c>
      <c r="M311" s="433">
        <f aca="true" t="shared" si="100" ref="M311:M327">CEILING(O311*1.15,1)</f>
        <v>7944</v>
      </c>
      <c r="N311" s="441"/>
      <c r="O311" s="442">
        <v>6907</v>
      </c>
      <c r="P311" s="441">
        <v>30</v>
      </c>
      <c r="Q311" s="441"/>
      <c r="R311" s="441"/>
    </row>
    <row r="312" spans="1:18" s="506" customFormat="1" ht="15" customHeight="1">
      <c r="A312" s="443" t="s">
        <v>469</v>
      </c>
      <c r="B312" s="817" t="s">
        <v>585</v>
      </c>
      <c r="C312" s="818"/>
      <c r="D312" s="819"/>
      <c r="E312" s="444" t="s">
        <v>66</v>
      </c>
      <c r="F312" s="420">
        <f>G312/P312</f>
        <v>299.3333333333333</v>
      </c>
      <c r="G312" s="434">
        <f>CEILING(O312*1.3,10)</f>
        <v>8980</v>
      </c>
      <c r="H312" s="420">
        <f>I312/P312</f>
        <v>287.8333333333333</v>
      </c>
      <c r="I312" s="434">
        <f>CEILING(O312*1.25,5)</f>
        <v>8635</v>
      </c>
      <c r="J312" s="420">
        <f>K312/P312</f>
        <v>276.3333333333333</v>
      </c>
      <c r="K312" s="434">
        <f>CEILING(O312*1.2,5)</f>
        <v>8290</v>
      </c>
      <c r="L312" s="420">
        <f>M312/P312</f>
        <v>264.8</v>
      </c>
      <c r="M312" s="434">
        <f>CEILING(O312*1.15,1)</f>
        <v>7944</v>
      </c>
      <c r="N312" s="441"/>
      <c r="O312" s="442">
        <v>6907</v>
      </c>
      <c r="P312" s="441">
        <v>30</v>
      </c>
      <c r="Q312" s="441"/>
      <c r="R312" s="441"/>
    </row>
    <row r="313" spans="1:18" s="506" customFormat="1" ht="15" customHeight="1">
      <c r="A313" s="439" t="s">
        <v>442</v>
      </c>
      <c r="B313" s="760" t="s">
        <v>443</v>
      </c>
      <c r="C313" s="761"/>
      <c r="D313" s="762"/>
      <c r="E313" s="440" t="s">
        <v>67</v>
      </c>
      <c r="F313" s="175">
        <f t="shared" si="93"/>
        <v>83.5</v>
      </c>
      <c r="G313" s="433">
        <f t="shared" si="94"/>
        <v>1670</v>
      </c>
      <c r="H313" s="175">
        <f t="shared" si="95"/>
        <v>80</v>
      </c>
      <c r="I313" s="433">
        <f t="shared" si="96"/>
        <v>1600</v>
      </c>
      <c r="J313" s="175">
        <f t="shared" si="97"/>
        <v>76.75</v>
      </c>
      <c r="K313" s="433">
        <f t="shared" si="98"/>
        <v>1535</v>
      </c>
      <c r="L313" s="175">
        <f t="shared" si="99"/>
        <v>73.55</v>
      </c>
      <c r="M313" s="433">
        <f t="shared" si="100"/>
        <v>1471</v>
      </c>
      <c r="N313" s="441"/>
      <c r="O313" s="442">
        <v>1279</v>
      </c>
      <c r="P313" s="441">
        <v>20</v>
      </c>
      <c r="Q313" s="441"/>
      <c r="R313" s="441"/>
    </row>
    <row r="314" spans="1:18" s="506" customFormat="1" ht="15" customHeight="1">
      <c r="A314" s="439" t="s">
        <v>483</v>
      </c>
      <c r="B314" s="760" t="s">
        <v>447</v>
      </c>
      <c r="C314" s="761"/>
      <c r="D314" s="762"/>
      <c r="E314" s="440" t="s">
        <v>448</v>
      </c>
      <c r="F314" s="175">
        <f t="shared" si="93"/>
        <v>24.5</v>
      </c>
      <c r="G314" s="429">
        <f t="shared" si="94"/>
        <v>490</v>
      </c>
      <c r="H314" s="175">
        <f t="shared" si="95"/>
        <v>23.25</v>
      </c>
      <c r="I314" s="429">
        <f t="shared" si="96"/>
        <v>465</v>
      </c>
      <c r="J314" s="175">
        <f t="shared" si="97"/>
        <v>22.5</v>
      </c>
      <c r="K314" s="429">
        <f t="shared" si="98"/>
        <v>450</v>
      </c>
      <c r="L314" s="175">
        <f t="shared" si="99"/>
        <v>21.4</v>
      </c>
      <c r="M314" s="429">
        <f t="shared" si="100"/>
        <v>428</v>
      </c>
      <c r="N314" s="441"/>
      <c r="O314" s="442">
        <v>372</v>
      </c>
      <c r="P314" s="441">
        <v>20</v>
      </c>
      <c r="Q314" s="441"/>
      <c r="R314" s="441"/>
    </row>
    <row r="315" spans="1:18" s="506" customFormat="1" ht="15" customHeight="1">
      <c r="A315" s="439" t="s">
        <v>449</v>
      </c>
      <c r="B315" s="760" t="s">
        <v>470</v>
      </c>
      <c r="C315" s="761"/>
      <c r="D315" s="762"/>
      <c r="E315" s="440" t="s">
        <v>67</v>
      </c>
      <c r="F315" s="175">
        <f t="shared" si="93"/>
        <v>90</v>
      </c>
      <c r="G315" s="429">
        <f t="shared" si="94"/>
        <v>1800</v>
      </c>
      <c r="H315" s="175">
        <f t="shared" si="95"/>
        <v>86.5</v>
      </c>
      <c r="I315" s="429">
        <f t="shared" si="96"/>
        <v>1730</v>
      </c>
      <c r="J315" s="175">
        <f t="shared" si="97"/>
        <v>83</v>
      </c>
      <c r="K315" s="429">
        <f t="shared" si="98"/>
        <v>1660</v>
      </c>
      <c r="L315" s="175">
        <f t="shared" si="99"/>
        <v>79.45</v>
      </c>
      <c r="M315" s="429">
        <f t="shared" si="100"/>
        <v>1589</v>
      </c>
      <c r="N315" s="441"/>
      <c r="O315" s="442">
        <v>1381</v>
      </c>
      <c r="P315" s="441">
        <v>20</v>
      </c>
      <c r="Q315" s="441"/>
      <c r="R315" s="441"/>
    </row>
    <row r="316" spans="1:18" s="506" customFormat="1" ht="15" customHeight="1">
      <c r="A316" s="439" t="s">
        <v>452</v>
      </c>
      <c r="B316" s="760" t="s">
        <v>471</v>
      </c>
      <c r="C316" s="761"/>
      <c r="D316" s="762"/>
      <c r="E316" s="440" t="s">
        <v>67</v>
      </c>
      <c r="F316" s="175">
        <f t="shared" si="93"/>
        <v>88</v>
      </c>
      <c r="G316" s="429">
        <f t="shared" si="94"/>
        <v>1760</v>
      </c>
      <c r="H316" s="175">
        <f t="shared" si="95"/>
        <v>84.25</v>
      </c>
      <c r="I316" s="429">
        <f t="shared" si="96"/>
        <v>1685</v>
      </c>
      <c r="J316" s="175">
        <f t="shared" si="97"/>
        <v>81</v>
      </c>
      <c r="K316" s="429">
        <f t="shared" si="98"/>
        <v>1620</v>
      </c>
      <c r="L316" s="175">
        <f t="shared" si="99"/>
        <v>77.5</v>
      </c>
      <c r="M316" s="429">
        <f t="shared" si="100"/>
        <v>1550</v>
      </c>
      <c r="N316" s="441"/>
      <c r="O316" s="442">
        <v>1347</v>
      </c>
      <c r="P316" s="441">
        <v>20</v>
      </c>
      <c r="Q316" s="441"/>
      <c r="R316" s="441"/>
    </row>
    <row r="317" spans="1:18" s="506" customFormat="1" ht="15" customHeight="1">
      <c r="A317" s="445" t="s">
        <v>484</v>
      </c>
      <c r="B317" s="921" t="s">
        <v>455</v>
      </c>
      <c r="C317" s="922"/>
      <c r="D317" s="923"/>
      <c r="E317" s="446" t="s">
        <v>456</v>
      </c>
      <c r="F317" s="176">
        <f t="shared" si="93"/>
        <v>207.33333333333334</v>
      </c>
      <c r="G317" s="434">
        <f t="shared" si="94"/>
        <v>6220</v>
      </c>
      <c r="H317" s="176">
        <f t="shared" si="95"/>
        <v>199.16666666666666</v>
      </c>
      <c r="I317" s="434">
        <f t="shared" si="96"/>
        <v>5975</v>
      </c>
      <c r="J317" s="176">
        <f t="shared" si="97"/>
        <v>191.16666666666666</v>
      </c>
      <c r="K317" s="434">
        <f t="shared" si="98"/>
        <v>5735</v>
      </c>
      <c r="L317" s="176">
        <f t="shared" si="99"/>
        <v>183.16666666666666</v>
      </c>
      <c r="M317" s="434">
        <f t="shared" si="100"/>
        <v>5495</v>
      </c>
      <c r="N317" s="441"/>
      <c r="O317" s="442">
        <v>4778</v>
      </c>
      <c r="P317" s="441">
        <v>30</v>
      </c>
      <c r="Q317" s="441"/>
      <c r="R317" s="441"/>
    </row>
    <row r="318" spans="1:18" s="506" customFormat="1" ht="15" customHeight="1">
      <c r="A318" s="447" t="s">
        <v>457</v>
      </c>
      <c r="B318" s="916" t="s">
        <v>458</v>
      </c>
      <c r="C318" s="917"/>
      <c r="D318" s="918"/>
      <c r="E318" s="448" t="s">
        <v>67</v>
      </c>
      <c r="F318" s="328">
        <f t="shared" si="93"/>
        <v>12.4</v>
      </c>
      <c r="G318" s="433">
        <f t="shared" si="94"/>
        <v>620</v>
      </c>
      <c r="H318" s="328">
        <f t="shared" si="95"/>
        <v>11.8</v>
      </c>
      <c r="I318" s="433">
        <f t="shared" si="96"/>
        <v>590</v>
      </c>
      <c r="J318" s="328">
        <f t="shared" si="97"/>
        <v>11.4</v>
      </c>
      <c r="K318" s="433">
        <f t="shared" si="98"/>
        <v>570</v>
      </c>
      <c r="L318" s="328">
        <f t="shared" si="99"/>
        <v>10.86</v>
      </c>
      <c r="M318" s="433">
        <f t="shared" si="100"/>
        <v>543</v>
      </c>
      <c r="N318" s="441"/>
      <c r="O318" s="442">
        <v>472</v>
      </c>
      <c r="P318" s="441">
        <v>50</v>
      </c>
      <c r="Q318" s="441" t="s">
        <v>690</v>
      </c>
      <c r="R318" s="441"/>
    </row>
    <row r="319" spans="1:18" s="505" customFormat="1" ht="15.75" customHeight="1" hidden="1">
      <c r="A319" s="348" t="s">
        <v>478</v>
      </c>
      <c r="B319" s="766" t="s">
        <v>476</v>
      </c>
      <c r="C319" s="766"/>
      <c r="D319" s="766"/>
      <c r="E319" s="62" t="s">
        <v>69</v>
      </c>
      <c r="F319" s="175">
        <f>G319/P319</f>
        <v>32</v>
      </c>
      <c r="G319" s="433">
        <f>CEILING(O319*1.3,10)</f>
        <v>160</v>
      </c>
      <c r="H319" s="175">
        <f>I319/P319</f>
        <v>30</v>
      </c>
      <c r="I319" s="433">
        <f>CEILING(O319*1.25,5)</f>
        <v>150</v>
      </c>
      <c r="J319" s="175">
        <f>K319/P319</f>
        <v>29</v>
      </c>
      <c r="K319" s="433">
        <f>CEILING(O319*1.2,5)</f>
        <v>145</v>
      </c>
      <c r="L319" s="175">
        <f>M319/P319</f>
        <v>27.6</v>
      </c>
      <c r="M319" s="433">
        <f>CEILING(O319*1.15,1)</f>
        <v>138</v>
      </c>
      <c r="N319" s="436"/>
      <c r="O319" s="442">
        <v>120</v>
      </c>
      <c r="P319" s="437">
        <v>5</v>
      </c>
      <c r="Q319" s="449"/>
      <c r="R319" s="495"/>
    </row>
    <row r="320" spans="1:18" s="506" customFormat="1" ht="15" customHeight="1" hidden="1">
      <c r="A320" s="445" t="s">
        <v>459</v>
      </c>
      <c r="B320" s="921" t="s">
        <v>477</v>
      </c>
      <c r="C320" s="922"/>
      <c r="D320" s="923"/>
      <c r="E320" s="446" t="s">
        <v>68</v>
      </c>
      <c r="F320" s="176">
        <f t="shared" si="93"/>
        <v>29</v>
      </c>
      <c r="G320" s="434">
        <f t="shared" si="94"/>
        <v>290</v>
      </c>
      <c r="H320" s="176">
        <f t="shared" si="95"/>
        <v>27</v>
      </c>
      <c r="I320" s="434">
        <f t="shared" si="96"/>
        <v>270</v>
      </c>
      <c r="J320" s="176">
        <f t="shared" si="97"/>
        <v>26</v>
      </c>
      <c r="K320" s="434">
        <f t="shared" si="98"/>
        <v>260</v>
      </c>
      <c r="L320" s="176">
        <f t="shared" si="99"/>
        <v>24.9</v>
      </c>
      <c r="M320" s="434">
        <f t="shared" si="100"/>
        <v>249</v>
      </c>
      <c r="N320" s="441"/>
      <c r="O320" s="442">
        <v>216</v>
      </c>
      <c r="P320" s="441">
        <v>10</v>
      </c>
      <c r="Q320" s="441"/>
      <c r="R320" s="441"/>
    </row>
    <row r="321" spans="1:18" s="506" customFormat="1" ht="15" customHeight="1">
      <c r="A321" s="450" t="s">
        <v>485</v>
      </c>
      <c r="B321" s="916" t="s">
        <v>157</v>
      </c>
      <c r="C321" s="917"/>
      <c r="D321" s="918"/>
      <c r="E321" s="448" t="s">
        <v>460</v>
      </c>
      <c r="F321" s="328">
        <f t="shared" si="93"/>
        <v>8.96</v>
      </c>
      <c r="G321" s="433">
        <f>CEILING(O321*1.4,10)</f>
        <v>4480</v>
      </c>
      <c r="H321" s="328">
        <f t="shared" si="95"/>
        <v>8.32</v>
      </c>
      <c r="I321" s="433">
        <f>CEILING(O321*1.3,5)</f>
        <v>4160</v>
      </c>
      <c r="J321" s="328">
        <f t="shared" si="97"/>
        <v>7.68</v>
      </c>
      <c r="K321" s="433">
        <f>CEILING(O321*1.2,5)</f>
        <v>3840</v>
      </c>
      <c r="L321" s="328">
        <f t="shared" si="99"/>
        <v>7.36</v>
      </c>
      <c r="M321" s="433">
        <f t="shared" si="100"/>
        <v>3680</v>
      </c>
      <c r="N321" s="441"/>
      <c r="O321" s="442">
        <f>Q321</f>
        <v>3200</v>
      </c>
      <c r="P321" s="441">
        <v>500</v>
      </c>
      <c r="Q321" s="441">
        <v>3200</v>
      </c>
      <c r="R321" s="441" t="s">
        <v>729</v>
      </c>
    </row>
    <row r="322" spans="1:18" s="506" customFormat="1" ht="15" customHeight="1">
      <c r="A322" s="451" t="s">
        <v>572</v>
      </c>
      <c r="B322" s="760" t="s">
        <v>157</v>
      </c>
      <c r="C322" s="761"/>
      <c r="D322" s="762"/>
      <c r="E322" s="440" t="s">
        <v>70</v>
      </c>
      <c r="F322" s="175">
        <f t="shared" si="93"/>
        <v>9.52</v>
      </c>
      <c r="G322" s="433">
        <f>CEILING(O322*1.4,10)</f>
        <v>4760</v>
      </c>
      <c r="H322" s="175">
        <f t="shared" si="95"/>
        <v>8.84</v>
      </c>
      <c r="I322" s="433">
        <f>CEILING(O322*1.3,5)</f>
        <v>4420</v>
      </c>
      <c r="J322" s="175">
        <f t="shared" si="97"/>
        <v>8.16</v>
      </c>
      <c r="K322" s="433">
        <f>CEILING(O322*1.2,5)</f>
        <v>4080</v>
      </c>
      <c r="L322" s="175">
        <f t="shared" si="99"/>
        <v>7.82</v>
      </c>
      <c r="M322" s="433">
        <f t="shared" si="100"/>
        <v>3910</v>
      </c>
      <c r="N322" s="441"/>
      <c r="O322" s="442">
        <f>R322*1000</f>
        <v>3400</v>
      </c>
      <c r="P322" s="441">
        <v>500</v>
      </c>
      <c r="Q322" s="441"/>
      <c r="R322" s="626">
        <v>3.4</v>
      </c>
    </row>
    <row r="323" spans="1:18" s="506" customFormat="1" ht="15" customHeight="1">
      <c r="A323" s="439" t="s">
        <v>461</v>
      </c>
      <c r="B323" s="760" t="s">
        <v>571</v>
      </c>
      <c r="C323" s="761"/>
      <c r="D323" s="762"/>
      <c r="E323" s="440" t="s">
        <v>69</v>
      </c>
      <c r="F323" s="175">
        <f t="shared" si="93"/>
        <v>24</v>
      </c>
      <c r="G323" s="429">
        <f t="shared" si="94"/>
        <v>120</v>
      </c>
      <c r="H323" s="175">
        <f t="shared" si="95"/>
        <v>23</v>
      </c>
      <c r="I323" s="429">
        <f t="shared" si="96"/>
        <v>115</v>
      </c>
      <c r="J323" s="175">
        <f t="shared" si="97"/>
        <v>22</v>
      </c>
      <c r="K323" s="429">
        <f t="shared" si="98"/>
        <v>110</v>
      </c>
      <c r="L323" s="175">
        <f t="shared" si="99"/>
        <v>20.8</v>
      </c>
      <c r="M323" s="625">
        <f t="shared" si="100"/>
        <v>104</v>
      </c>
      <c r="N323" s="441"/>
      <c r="O323" s="442">
        <v>90</v>
      </c>
      <c r="P323" s="441">
        <v>5</v>
      </c>
      <c r="Q323" s="441"/>
      <c r="R323" s="441"/>
    </row>
    <row r="324" spans="1:18" s="506" customFormat="1" ht="15" customHeight="1">
      <c r="A324" s="445" t="s">
        <v>462</v>
      </c>
      <c r="B324" s="921" t="s">
        <v>571</v>
      </c>
      <c r="C324" s="922"/>
      <c r="D324" s="923"/>
      <c r="E324" s="446" t="s">
        <v>68</v>
      </c>
      <c r="F324" s="176">
        <f t="shared" si="93"/>
        <v>16</v>
      </c>
      <c r="G324" s="513">
        <f t="shared" si="94"/>
        <v>160</v>
      </c>
      <c r="H324" s="420">
        <f t="shared" si="95"/>
        <v>15</v>
      </c>
      <c r="I324" s="513">
        <f t="shared" si="96"/>
        <v>150</v>
      </c>
      <c r="J324" s="420">
        <f t="shared" si="97"/>
        <v>14.5</v>
      </c>
      <c r="K324" s="513">
        <f t="shared" si="98"/>
        <v>145</v>
      </c>
      <c r="L324" s="420">
        <f t="shared" si="99"/>
        <v>13.8</v>
      </c>
      <c r="M324" s="513">
        <f t="shared" si="100"/>
        <v>138</v>
      </c>
      <c r="N324" s="441"/>
      <c r="O324" s="442">
        <v>120</v>
      </c>
      <c r="P324" s="441">
        <v>10</v>
      </c>
      <c r="Q324" s="441"/>
      <c r="R324" s="441"/>
    </row>
    <row r="325" spans="1:18" s="506" customFormat="1" ht="15" customHeight="1">
      <c r="A325" s="439" t="s">
        <v>486</v>
      </c>
      <c r="B325" s="760" t="s">
        <v>463</v>
      </c>
      <c r="C325" s="761"/>
      <c r="D325" s="762"/>
      <c r="E325" s="440" t="s">
        <v>464</v>
      </c>
      <c r="F325" s="175">
        <f t="shared" si="93"/>
        <v>167.6</v>
      </c>
      <c r="G325" s="429">
        <f t="shared" si="94"/>
        <v>4190</v>
      </c>
      <c r="H325" s="175">
        <f t="shared" si="95"/>
        <v>161</v>
      </c>
      <c r="I325" s="429">
        <f t="shared" si="96"/>
        <v>4025</v>
      </c>
      <c r="J325" s="175">
        <f t="shared" si="97"/>
        <v>154.6</v>
      </c>
      <c r="K325" s="429">
        <f t="shared" si="98"/>
        <v>3865</v>
      </c>
      <c r="L325" s="175">
        <f t="shared" si="99"/>
        <v>148.04</v>
      </c>
      <c r="M325" s="429">
        <f t="shared" si="100"/>
        <v>3701</v>
      </c>
      <c r="N325" s="441"/>
      <c r="O325" s="442">
        <v>3218</v>
      </c>
      <c r="P325" s="441">
        <v>25</v>
      </c>
      <c r="Q325" s="441"/>
      <c r="R325" s="441"/>
    </row>
    <row r="326" spans="1:18" s="506" customFormat="1" ht="15" customHeight="1">
      <c r="A326" s="439" t="s">
        <v>487</v>
      </c>
      <c r="B326" s="760" t="s">
        <v>465</v>
      </c>
      <c r="C326" s="761"/>
      <c r="D326" s="762"/>
      <c r="E326" s="440" t="s">
        <v>466</v>
      </c>
      <c r="F326" s="175">
        <f t="shared" si="93"/>
        <v>164.8</v>
      </c>
      <c r="G326" s="429">
        <f t="shared" si="94"/>
        <v>4120</v>
      </c>
      <c r="H326" s="175">
        <f t="shared" si="95"/>
        <v>158.2</v>
      </c>
      <c r="I326" s="429">
        <f t="shared" si="96"/>
        <v>3955</v>
      </c>
      <c r="J326" s="175">
        <f t="shared" si="97"/>
        <v>152</v>
      </c>
      <c r="K326" s="429">
        <f t="shared" si="98"/>
        <v>3800</v>
      </c>
      <c r="L326" s="175">
        <f t="shared" si="99"/>
        <v>145.56</v>
      </c>
      <c r="M326" s="429">
        <f t="shared" si="100"/>
        <v>3639</v>
      </c>
      <c r="N326" s="441"/>
      <c r="O326" s="442">
        <v>3164</v>
      </c>
      <c r="P326" s="441">
        <v>25</v>
      </c>
      <c r="Q326" s="441"/>
      <c r="R326" s="441"/>
    </row>
    <row r="327" spans="1:18" s="506" customFormat="1" ht="15" customHeight="1">
      <c r="A327" s="445" t="s">
        <v>488</v>
      </c>
      <c r="B327" s="921" t="s">
        <v>467</v>
      </c>
      <c r="C327" s="922"/>
      <c r="D327" s="923"/>
      <c r="E327" s="446" t="s">
        <v>468</v>
      </c>
      <c r="F327" s="176">
        <f t="shared" si="93"/>
        <v>244.4</v>
      </c>
      <c r="G327" s="434">
        <f t="shared" si="94"/>
        <v>6110</v>
      </c>
      <c r="H327" s="176">
        <f t="shared" si="95"/>
        <v>235</v>
      </c>
      <c r="I327" s="434">
        <f t="shared" si="96"/>
        <v>5875</v>
      </c>
      <c r="J327" s="176">
        <f t="shared" si="97"/>
        <v>225.6</v>
      </c>
      <c r="K327" s="434">
        <f t="shared" si="98"/>
        <v>5640</v>
      </c>
      <c r="L327" s="176">
        <f t="shared" si="99"/>
        <v>216.08</v>
      </c>
      <c r="M327" s="434">
        <f t="shared" si="100"/>
        <v>5402</v>
      </c>
      <c r="N327" s="441"/>
      <c r="O327" s="442">
        <v>4697</v>
      </c>
      <c r="P327" s="441">
        <v>25</v>
      </c>
      <c r="Q327" s="441"/>
      <c r="R327" s="441"/>
    </row>
    <row r="328" spans="1:18" s="505" customFormat="1" ht="15.75" customHeight="1">
      <c r="A328" s="418" t="s">
        <v>474</v>
      </c>
      <c r="B328" s="765" t="s">
        <v>472</v>
      </c>
      <c r="C328" s="765"/>
      <c r="D328" s="765"/>
      <c r="E328" s="345" t="s">
        <v>71</v>
      </c>
      <c r="F328" s="328">
        <f aca="true" t="shared" si="101" ref="F328:F338">G328/P328</f>
        <v>30</v>
      </c>
      <c r="G328" s="429">
        <f aca="true" t="shared" si="102" ref="G328:G338">CEILING(O328*1.3,10)</f>
        <v>3000</v>
      </c>
      <c r="H328" s="328">
        <f aca="true" t="shared" si="103" ref="H328:H338">I328/P328</f>
        <v>28.8</v>
      </c>
      <c r="I328" s="429">
        <f aca="true" t="shared" si="104" ref="I328:I338">CEILING(O328*1.25,5)</f>
        <v>2880</v>
      </c>
      <c r="J328" s="328">
        <f aca="true" t="shared" si="105" ref="J328:J338">K328/P328</f>
        <v>27.65</v>
      </c>
      <c r="K328" s="429">
        <f aca="true" t="shared" si="106" ref="K328:K338">CEILING(O328*1.2,5)</f>
        <v>2765</v>
      </c>
      <c r="L328" s="328">
        <f aca="true" t="shared" si="107" ref="L328:L338">M328/P328</f>
        <v>26.49</v>
      </c>
      <c r="M328" s="429">
        <f>CEILING(O328*1.15,1)</f>
        <v>2649</v>
      </c>
      <c r="N328" s="436"/>
      <c r="O328" s="442">
        <v>2303</v>
      </c>
      <c r="P328" s="437">
        <v>100</v>
      </c>
      <c r="Q328" s="449"/>
      <c r="R328" s="495"/>
    </row>
    <row r="329" spans="1:18" s="505" customFormat="1" ht="15.75" customHeight="1">
      <c r="A329" s="162" t="s">
        <v>473</v>
      </c>
      <c r="B329" s="766" t="s">
        <v>72</v>
      </c>
      <c r="C329" s="766"/>
      <c r="D329" s="766"/>
      <c r="E329" s="343" t="s">
        <v>71</v>
      </c>
      <c r="F329" s="175">
        <f t="shared" si="101"/>
        <v>39.9</v>
      </c>
      <c r="G329" s="429">
        <f t="shared" si="102"/>
        <v>3990</v>
      </c>
      <c r="H329" s="175">
        <f t="shared" si="103"/>
        <v>38.4</v>
      </c>
      <c r="I329" s="429">
        <f t="shared" si="104"/>
        <v>3840</v>
      </c>
      <c r="J329" s="175">
        <f t="shared" si="105"/>
        <v>36.85</v>
      </c>
      <c r="K329" s="429">
        <f t="shared" si="106"/>
        <v>3685</v>
      </c>
      <c r="L329" s="175">
        <f t="shared" si="107"/>
        <v>35.3</v>
      </c>
      <c r="M329" s="429">
        <f>CEILING(O329*1.15,1)</f>
        <v>3530</v>
      </c>
      <c r="N329" s="436"/>
      <c r="O329" s="442">
        <v>3069</v>
      </c>
      <c r="P329" s="437">
        <v>100</v>
      </c>
      <c r="Q329" s="449"/>
      <c r="R329" s="495"/>
    </row>
    <row r="330" spans="1:18" s="505" customFormat="1" ht="15.75" customHeight="1">
      <c r="A330" s="163" t="s">
        <v>475</v>
      </c>
      <c r="B330" s="806" t="s">
        <v>73</v>
      </c>
      <c r="C330" s="806"/>
      <c r="D330" s="806"/>
      <c r="E330" s="344" t="s">
        <v>71</v>
      </c>
      <c r="F330" s="176">
        <f t="shared" si="101"/>
        <v>41.8</v>
      </c>
      <c r="G330" s="434">
        <f t="shared" si="102"/>
        <v>4180</v>
      </c>
      <c r="H330" s="176">
        <f t="shared" si="103"/>
        <v>40.15</v>
      </c>
      <c r="I330" s="434">
        <f t="shared" si="104"/>
        <v>4015</v>
      </c>
      <c r="J330" s="176">
        <f t="shared" si="105"/>
        <v>38.55</v>
      </c>
      <c r="K330" s="434">
        <f t="shared" si="106"/>
        <v>3855</v>
      </c>
      <c r="L330" s="176">
        <f t="shared" si="107"/>
        <v>36.93</v>
      </c>
      <c r="M330" s="434">
        <f>CEILING(O330*1.15,1)</f>
        <v>3693</v>
      </c>
      <c r="N330" s="436"/>
      <c r="O330" s="442">
        <v>3211</v>
      </c>
      <c r="P330" s="437">
        <v>100</v>
      </c>
      <c r="Q330" s="452"/>
      <c r="R330" s="496"/>
    </row>
    <row r="331" spans="1:18" s="505" customFormat="1" ht="15.75" customHeight="1" hidden="1">
      <c r="A331" s="329" t="s">
        <v>55</v>
      </c>
      <c r="B331" s="765" t="s">
        <v>56</v>
      </c>
      <c r="C331" s="765"/>
      <c r="D331" s="765"/>
      <c r="E331" s="345" t="s">
        <v>80</v>
      </c>
      <c r="F331" s="328">
        <f t="shared" si="101"/>
        <v>20</v>
      </c>
      <c r="G331" s="433">
        <f t="shared" si="102"/>
        <v>200</v>
      </c>
      <c r="H331" s="328">
        <f t="shared" si="103"/>
        <v>19</v>
      </c>
      <c r="I331" s="433">
        <f t="shared" si="104"/>
        <v>190</v>
      </c>
      <c r="J331" s="328">
        <f t="shared" si="105"/>
        <v>18</v>
      </c>
      <c r="K331" s="433">
        <f t="shared" si="106"/>
        <v>180</v>
      </c>
      <c r="L331" s="328">
        <f t="shared" si="107"/>
        <v>17.5</v>
      </c>
      <c r="M331" s="433">
        <f aca="true" t="shared" si="108" ref="M331:M338">CEILING(O331*1.15,5)</f>
        <v>175</v>
      </c>
      <c r="N331" s="436"/>
      <c r="O331" s="442">
        <v>149</v>
      </c>
      <c r="P331" s="437">
        <v>10</v>
      </c>
      <c r="Q331" s="453"/>
      <c r="R331" s="497"/>
    </row>
    <row r="332" spans="1:18" s="505" customFormat="1" ht="15.75" customHeight="1" hidden="1">
      <c r="A332" s="174" t="s">
        <v>57</v>
      </c>
      <c r="B332" s="766" t="s">
        <v>56</v>
      </c>
      <c r="C332" s="766"/>
      <c r="D332" s="766"/>
      <c r="E332" s="343" t="s">
        <v>81</v>
      </c>
      <c r="F332" s="175">
        <f t="shared" si="101"/>
        <v>19.333333333333332</v>
      </c>
      <c r="G332" s="429">
        <f t="shared" si="102"/>
        <v>580</v>
      </c>
      <c r="H332" s="175">
        <f t="shared" si="103"/>
        <v>18.5</v>
      </c>
      <c r="I332" s="429">
        <f t="shared" si="104"/>
        <v>555</v>
      </c>
      <c r="J332" s="175">
        <f t="shared" si="105"/>
        <v>17.666666666666668</v>
      </c>
      <c r="K332" s="429">
        <f t="shared" si="106"/>
        <v>530</v>
      </c>
      <c r="L332" s="175">
        <f t="shared" si="107"/>
        <v>17</v>
      </c>
      <c r="M332" s="429">
        <f t="shared" si="108"/>
        <v>510</v>
      </c>
      <c r="N332" s="436"/>
      <c r="O332" s="442">
        <v>441</v>
      </c>
      <c r="P332" s="437">
        <v>30</v>
      </c>
      <c r="Q332" s="449"/>
      <c r="R332" s="495"/>
    </row>
    <row r="333" spans="1:18" s="505" customFormat="1" ht="15.75" customHeight="1" hidden="1">
      <c r="A333" s="330" t="s">
        <v>58</v>
      </c>
      <c r="B333" s="806" t="s">
        <v>56</v>
      </c>
      <c r="C333" s="806"/>
      <c r="D333" s="806"/>
      <c r="E333" s="344" t="s">
        <v>82</v>
      </c>
      <c r="F333" s="176">
        <f t="shared" si="101"/>
        <v>19</v>
      </c>
      <c r="G333" s="429">
        <f t="shared" si="102"/>
        <v>950</v>
      </c>
      <c r="H333" s="176">
        <f t="shared" si="103"/>
        <v>18.3</v>
      </c>
      <c r="I333" s="429">
        <f t="shared" si="104"/>
        <v>915</v>
      </c>
      <c r="J333" s="176">
        <f t="shared" si="105"/>
        <v>17.6</v>
      </c>
      <c r="K333" s="429">
        <f t="shared" si="106"/>
        <v>880</v>
      </c>
      <c r="L333" s="176">
        <f t="shared" si="107"/>
        <v>16.8</v>
      </c>
      <c r="M333" s="429">
        <f t="shared" si="108"/>
        <v>840</v>
      </c>
      <c r="N333" s="436"/>
      <c r="O333" s="442">
        <v>730</v>
      </c>
      <c r="P333" s="437">
        <v>50</v>
      </c>
      <c r="Q333" s="452"/>
      <c r="R333" s="496"/>
    </row>
    <row r="334" spans="1:18" s="505" customFormat="1" ht="15.75" customHeight="1" hidden="1">
      <c r="A334" s="329" t="s">
        <v>59</v>
      </c>
      <c r="B334" s="765" t="s">
        <v>56</v>
      </c>
      <c r="C334" s="765"/>
      <c r="D334" s="765"/>
      <c r="E334" s="345" t="s">
        <v>74</v>
      </c>
      <c r="F334" s="328">
        <f t="shared" si="101"/>
        <v>30</v>
      </c>
      <c r="G334" s="429">
        <f t="shared" si="102"/>
        <v>300</v>
      </c>
      <c r="H334" s="328">
        <f t="shared" si="103"/>
        <v>28</v>
      </c>
      <c r="I334" s="429">
        <f t="shared" si="104"/>
        <v>280</v>
      </c>
      <c r="J334" s="328">
        <f t="shared" si="105"/>
        <v>27</v>
      </c>
      <c r="K334" s="429">
        <f t="shared" si="106"/>
        <v>270</v>
      </c>
      <c r="L334" s="328">
        <f t="shared" si="107"/>
        <v>26</v>
      </c>
      <c r="M334" s="429">
        <f t="shared" si="108"/>
        <v>260</v>
      </c>
      <c r="N334" s="436"/>
      <c r="O334" s="442">
        <v>224</v>
      </c>
      <c r="P334" s="437">
        <v>10</v>
      </c>
      <c r="Q334" s="453"/>
      <c r="R334" s="497"/>
    </row>
    <row r="335" spans="1:18" s="505" customFormat="1" ht="15.75" customHeight="1" hidden="1">
      <c r="A335" s="174" t="s">
        <v>60</v>
      </c>
      <c r="B335" s="766" t="s">
        <v>56</v>
      </c>
      <c r="C335" s="766"/>
      <c r="D335" s="766"/>
      <c r="E335" s="343" t="s">
        <v>75</v>
      </c>
      <c r="F335" s="175">
        <f t="shared" si="101"/>
        <v>29</v>
      </c>
      <c r="G335" s="429">
        <f t="shared" si="102"/>
        <v>870</v>
      </c>
      <c r="H335" s="175">
        <f t="shared" si="103"/>
        <v>27.666666666666668</v>
      </c>
      <c r="I335" s="429">
        <f t="shared" si="104"/>
        <v>830</v>
      </c>
      <c r="J335" s="175">
        <f t="shared" si="105"/>
        <v>26.666666666666668</v>
      </c>
      <c r="K335" s="429">
        <f t="shared" si="106"/>
        <v>800</v>
      </c>
      <c r="L335" s="175">
        <f t="shared" si="107"/>
        <v>25.5</v>
      </c>
      <c r="M335" s="429">
        <f t="shared" si="108"/>
        <v>765</v>
      </c>
      <c r="N335" s="436"/>
      <c r="O335" s="442">
        <v>663</v>
      </c>
      <c r="P335" s="437">
        <v>30</v>
      </c>
      <c r="Q335" s="449"/>
      <c r="R335" s="495"/>
    </row>
    <row r="336" spans="1:18" s="505" customFormat="1" ht="15.75" customHeight="1" hidden="1">
      <c r="A336" s="330" t="s">
        <v>61</v>
      </c>
      <c r="B336" s="806" t="s">
        <v>56</v>
      </c>
      <c r="C336" s="806"/>
      <c r="D336" s="806"/>
      <c r="E336" s="344" t="s">
        <v>76</v>
      </c>
      <c r="F336" s="176">
        <f t="shared" si="101"/>
        <v>28.8</v>
      </c>
      <c r="G336" s="429">
        <f t="shared" si="102"/>
        <v>1440</v>
      </c>
      <c r="H336" s="176">
        <f t="shared" si="103"/>
        <v>27.6</v>
      </c>
      <c r="I336" s="429">
        <f t="shared" si="104"/>
        <v>1380</v>
      </c>
      <c r="J336" s="176">
        <f t="shared" si="105"/>
        <v>26.5</v>
      </c>
      <c r="K336" s="429">
        <f t="shared" si="106"/>
        <v>1325</v>
      </c>
      <c r="L336" s="176">
        <f t="shared" si="107"/>
        <v>25.4</v>
      </c>
      <c r="M336" s="429">
        <f t="shared" si="108"/>
        <v>1270</v>
      </c>
      <c r="N336" s="436"/>
      <c r="O336" s="442">
        <v>1101</v>
      </c>
      <c r="P336" s="437">
        <v>50</v>
      </c>
      <c r="Q336" s="452"/>
      <c r="R336" s="496"/>
    </row>
    <row r="337" spans="1:18" s="505" customFormat="1" ht="15.75" customHeight="1" hidden="1">
      <c r="A337" s="329" t="s">
        <v>62</v>
      </c>
      <c r="B337" s="765" t="s">
        <v>56</v>
      </c>
      <c r="C337" s="765"/>
      <c r="D337" s="765"/>
      <c r="E337" s="345" t="s">
        <v>77</v>
      </c>
      <c r="F337" s="328">
        <f t="shared" si="101"/>
        <v>39</v>
      </c>
      <c r="G337" s="429">
        <f t="shared" si="102"/>
        <v>390</v>
      </c>
      <c r="H337" s="328">
        <f t="shared" si="103"/>
        <v>37</v>
      </c>
      <c r="I337" s="429">
        <f t="shared" si="104"/>
        <v>370</v>
      </c>
      <c r="J337" s="328">
        <f t="shared" si="105"/>
        <v>35.5</v>
      </c>
      <c r="K337" s="429">
        <f t="shared" si="106"/>
        <v>355</v>
      </c>
      <c r="L337" s="328">
        <f t="shared" si="107"/>
        <v>34</v>
      </c>
      <c r="M337" s="429">
        <f t="shared" si="108"/>
        <v>340</v>
      </c>
      <c r="N337" s="436"/>
      <c r="O337" s="442">
        <v>295</v>
      </c>
      <c r="P337" s="437">
        <v>10</v>
      </c>
      <c r="Q337" s="453"/>
      <c r="R337" s="497"/>
    </row>
    <row r="338" spans="1:18" s="505" customFormat="1" ht="15.75" customHeight="1" hidden="1">
      <c r="A338" s="174" t="s">
        <v>63</v>
      </c>
      <c r="B338" s="766" t="s">
        <v>56</v>
      </c>
      <c r="C338" s="766"/>
      <c r="D338" s="766"/>
      <c r="E338" s="343" t="s">
        <v>78</v>
      </c>
      <c r="F338" s="175">
        <f t="shared" si="101"/>
        <v>38</v>
      </c>
      <c r="G338" s="429">
        <f t="shared" si="102"/>
        <v>1140</v>
      </c>
      <c r="H338" s="175">
        <f t="shared" si="103"/>
        <v>36.5</v>
      </c>
      <c r="I338" s="429">
        <f t="shared" si="104"/>
        <v>1095</v>
      </c>
      <c r="J338" s="175">
        <f t="shared" si="105"/>
        <v>35.166666666666664</v>
      </c>
      <c r="K338" s="429">
        <f t="shared" si="106"/>
        <v>1055</v>
      </c>
      <c r="L338" s="175">
        <f t="shared" si="107"/>
        <v>33.666666666666664</v>
      </c>
      <c r="M338" s="429">
        <f t="shared" si="108"/>
        <v>1010</v>
      </c>
      <c r="N338" s="436"/>
      <c r="O338" s="442">
        <v>876</v>
      </c>
      <c r="P338" s="437">
        <v>30</v>
      </c>
      <c r="Q338" s="449"/>
      <c r="R338" s="495"/>
    </row>
    <row r="339" spans="1:18" s="505" customFormat="1" ht="15.75" customHeight="1" hidden="1">
      <c r="A339" s="330" t="s">
        <v>64</v>
      </c>
      <c r="B339" s="806" t="s">
        <v>56</v>
      </c>
      <c r="C339" s="806"/>
      <c r="D339" s="806"/>
      <c r="E339" s="344" t="s">
        <v>79</v>
      </c>
      <c r="F339" s="176">
        <f aca="true" t="shared" si="109" ref="F339:F349">G339/P339</f>
        <v>38</v>
      </c>
      <c r="G339" s="429">
        <f aca="true" t="shared" si="110" ref="G339:G349">CEILING(O339*1.3,10)</f>
        <v>1900</v>
      </c>
      <c r="H339" s="176">
        <f aca="true" t="shared" si="111" ref="H339:H349">I339/P339</f>
        <v>36.4</v>
      </c>
      <c r="I339" s="429">
        <f aca="true" t="shared" si="112" ref="I339:I349">CEILING(O339*1.25,5)</f>
        <v>1820</v>
      </c>
      <c r="J339" s="176">
        <f aca="true" t="shared" si="113" ref="J339:J349">K339/P339</f>
        <v>35</v>
      </c>
      <c r="K339" s="429">
        <f aca="true" t="shared" si="114" ref="K339:K349">CEILING(O339*1.2,5)</f>
        <v>1750</v>
      </c>
      <c r="L339" s="176">
        <f aca="true" t="shared" si="115" ref="L339:L349">M339/P339</f>
        <v>33.5</v>
      </c>
      <c r="M339" s="429">
        <f>CEILING(O339*1.15,5)</f>
        <v>1675</v>
      </c>
      <c r="N339" s="436"/>
      <c r="O339" s="442">
        <v>1455</v>
      </c>
      <c r="P339" s="437">
        <v>50</v>
      </c>
      <c r="Q339" s="452"/>
      <c r="R339" s="496"/>
    </row>
    <row r="340" spans="1:18" s="505" customFormat="1" ht="15.75" customHeight="1">
      <c r="A340" s="421" t="s">
        <v>582</v>
      </c>
      <c r="B340" s="791" t="s">
        <v>210</v>
      </c>
      <c r="C340" s="791"/>
      <c r="D340" s="791"/>
      <c r="E340" s="346" t="s">
        <v>68</v>
      </c>
      <c r="F340" s="454">
        <f t="shared" si="109"/>
        <v>207</v>
      </c>
      <c r="G340" s="429">
        <f t="shared" si="110"/>
        <v>2070</v>
      </c>
      <c r="H340" s="454">
        <f t="shared" si="111"/>
        <v>198.5</v>
      </c>
      <c r="I340" s="429">
        <f t="shared" si="112"/>
        <v>1985</v>
      </c>
      <c r="J340" s="454">
        <f t="shared" si="113"/>
        <v>190.5</v>
      </c>
      <c r="K340" s="429">
        <f t="shared" si="114"/>
        <v>1905</v>
      </c>
      <c r="L340" s="454">
        <f t="shared" si="115"/>
        <v>182.4</v>
      </c>
      <c r="M340" s="429">
        <f aca="true" t="shared" si="116" ref="M340:M349">CEILING(O340*1.15,1)</f>
        <v>1824</v>
      </c>
      <c r="N340" s="436"/>
      <c r="O340" s="442">
        <v>1586</v>
      </c>
      <c r="P340" s="437">
        <v>10</v>
      </c>
      <c r="Q340" s="455"/>
      <c r="R340" s="498"/>
    </row>
    <row r="341" spans="1:18" s="505" customFormat="1" ht="15.75" customHeight="1">
      <c r="A341" s="422" t="s">
        <v>583</v>
      </c>
      <c r="B341" s="806" t="s">
        <v>210</v>
      </c>
      <c r="C341" s="806"/>
      <c r="D341" s="806"/>
      <c r="E341" s="344" t="s">
        <v>211</v>
      </c>
      <c r="F341" s="176">
        <f t="shared" si="109"/>
        <v>206.4</v>
      </c>
      <c r="G341" s="434">
        <f t="shared" si="110"/>
        <v>5160</v>
      </c>
      <c r="H341" s="176">
        <f t="shared" si="111"/>
        <v>198.4</v>
      </c>
      <c r="I341" s="434">
        <f t="shared" si="112"/>
        <v>4960</v>
      </c>
      <c r="J341" s="176">
        <f t="shared" si="113"/>
        <v>190.4</v>
      </c>
      <c r="K341" s="434">
        <f t="shared" si="114"/>
        <v>4760</v>
      </c>
      <c r="L341" s="176">
        <f t="shared" si="115"/>
        <v>182.4</v>
      </c>
      <c r="M341" s="434">
        <f t="shared" si="116"/>
        <v>4560</v>
      </c>
      <c r="N341" s="436"/>
      <c r="O341" s="442">
        <v>3965</v>
      </c>
      <c r="P341" s="437">
        <v>25</v>
      </c>
      <c r="Q341" s="449"/>
      <c r="R341" s="495"/>
    </row>
    <row r="342" spans="1:18" s="505" customFormat="1" ht="15.75" customHeight="1">
      <c r="A342" s="394" t="s">
        <v>573</v>
      </c>
      <c r="B342" s="805" t="s">
        <v>575</v>
      </c>
      <c r="C342" s="791"/>
      <c r="D342" s="791"/>
      <c r="E342" s="346" t="s">
        <v>577</v>
      </c>
      <c r="F342" s="454">
        <f t="shared" si="109"/>
        <v>111</v>
      </c>
      <c r="G342" s="514">
        <f t="shared" si="110"/>
        <v>1110</v>
      </c>
      <c r="H342" s="454">
        <f t="shared" si="111"/>
        <v>106.5</v>
      </c>
      <c r="I342" s="514">
        <f t="shared" si="112"/>
        <v>1065</v>
      </c>
      <c r="J342" s="454">
        <f t="shared" si="113"/>
        <v>102</v>
      </c>
      <c r="K342" s="514">
        <f t="shared" si="114"/>
        <v>1020</v>
      </c>
      <c r="L342" s="454">
        <f t="shared" si="115"/>
        <v>97.8</v>
      </c>
      <c r="M342" s="514">
        <f t="shared" si="116"/>
        <v>978</v>
      </c>
      <c r="N342" s="436"/>
      <c r="O342" s="442">
        <v>850</v>
      </c>
      <c r="P342" s="437">
        <v>10</v>
      </c>
      <c r="Q342" s="455"/>
      <c r="R342" s="498"/>
    </row>
    <row r="343" spans="1:18" s="505" customFormat="1" ht="15.75" customHeight="1">
      <c r="A343" s="524" t="s">
        <v>625</v>
      </c>
      <c r="B343" s="920" t="s">
        <v>575</v>
      </c>
      <c r="C343" s="766"/>
      <c r="D343" s="766"/>
      <c r="E343" s="343" t="s">
        <v>626</v>
      </c>
      <c r="F343" s="175">
        <f t="shared" si="109"/>
        <v>106.66666666666667</v>
      </c>
      <c r="G343" s="429">
        <f t="shared" si="110"/>
        <v>640</v>
      </c>
      <c r="H343" s="175">
        <f t="shared" si="111"/>
        <v>101.66666666666667</v>
      </c>
      <c r="I343" s="429">
        <f t="shared" si="112"/>
        <v>610</v>
      </c>
      <c r="J343" s="175">
        <f t="shared" si="113"/>
        <v>97.5</v>
      </c>
      <c r="K343" s="429">
        <f t="shared" si="114"/>
        <v>585</v>
      </c>
      <c r="L343" s="175">
        <f>M343/P343</f>
        <v>93.5</v>
      </c>
      <c r="M343" s="429">
        <f>CEILING(O343*1.15,1)</f>
        <v>561</v>
      </c>
      <c r="N343" s="436"/>
      <c r="O343" s="442">
        <v>487</v>
      </c>
      <c r="P343" s="437">
        <v>6</v>
      </c>
      <c r="Q343" s="455"/>
      <c r="R343" s="498"/>
    </row>
    <row r="344" spans="1:18" s="505" customFormat="1" ht="15.75" customHeight="1">
      <c r="A344" s="522" t="s">
        <v>620</v>
      </c>
      <c r="B344" s="695" t="s">
        <v>575</v>
      </c>
      <c r="C344" s="696"/>
      <c r="D344" s="696"/>
      <c r="E344" s="523" t="s">
        <v>619</v>
      </c>
      <c r="F344" s="420">
        <f>G344/P344</f>
        <v>183.33333333333334</v>
      </c>
      <c r="G344" s="513">
        <f>CEILING(O344*1.3,10)</f>
        <v>1100</v>
      </c>
      <c r="H344" s="420">
        <f>I344/P344</f>
        <v>175.83333333333334</v>
      </c>
      <c r="I344" s="513">
        <f>CEILING(O344*1.25,5)</f>
        <v>1055</v>
      </c>
      <c r="J344" s="420">
        <f>K344/P344</f>
        <v>169.16666666666666</v>
      </c>
      <c r="K344" s="513">
        <f>CEILING(O344*1.2,5)</f>
        <v>1015</v>
      </c>
      <c r="L344" s="420">
        <f>M344/P344</f>
        <v>161.66666666666666</v>
      </c>
      <c r="M344" s="513">
        <f>CEILING(O344*1.15,1)</f>
        <v>970</v>
      </c>
      <c r="N344" s="436"/>
      <c r="O344" s="442">
        <v>843</v>
      </c>
      <c r="P344" s="437">
        <v>6</v>
      </c>
      <c r="Q344" s="455"/>
      <c r="R344" s="498"/>
    </row>
    <row r="345" spans="1:18" s="505" customFormat="1" ht="15.75" customHeight="1">
      <c r="A345" s="394" t="s">
        <v>574</v>
      </c>
      <c r="B345" s="805" t="s">
        <v>576</v>
      </c>
      <c r="C345" s="791"/>
      <c r="D345" s="791"/>
      <c r="E345" s="346" t="s">
        <v>578</v>
      </c>
      <c r="F345" s="454">
        <f t="shared" si="109"/>
        <v>91.4</v>
      </c>
      <c r="G345" s="514">
        <f t="shared" si="110"/>
        <v>4570</v>
      </c>
      <c r="H345" s="454">
        <f t="shared" si="111"/>
        <v>87.8</v>
      </c>
      <c r="I345" s="514">
        <f t="shared" si="112"/>
        <v>4390</v>
      </c>
      <c r="J345" s="454">
        <f t="shared" si="113"/>
        <v>84.3</v>
      </c>
      <c r="K345" s="514">
        <f t="shared" si="114"/>
        <v>4215</v>
      </c>
      <c r="L345" s="454">
        <f t="shared" si="115"/>
        <v>80.76</v>
      </c>
      <c r="M345" s="514">
        <f t="shared" si="116"/>
        <v>4038</v>
      </c>
      <c r="N345" s="436"/>
      <c r="O345" s="442">
        <v>3511</v>
      </c>
      <c r="P345" s="437">
        <v>50</v>
      </c>
      <c r="Q345" s="449"/>
      <c r="R345" s="495"/>
    </row>
    <row r="346" spans="1:18" s="505" customFormat="1" ht="15.75" customHeight="1">
      <c r="A346" s="422" t="s">
        <v>621</v>
      </c>
      <c r="B346" s="919" t="s">
        <v>576</v>
      </c>
      <c r="C346" s="806"/>
      <c r="D346" s="806"/>
      <c r="E346" s="344" t="s">
        <v>578</v>
      </c>
      <c r="F346" s="176">
        <f t="shared" si="109"/>
        <v>125.6</v>
      </c>
      <c r="G346" s="434">
        <f t="shared" si="110"/>
        <v>6280</v>
      </c>
      <c r="H346" s="176">
        <f t="shared" si="111"/>
        <v>120.7</v>
      </c>
      <c r="I346" s="434">
        <f t="shared" si="112"/>
        <v>6035</v>
      </c>
      <c r="J346" s="176">
        <f t="shared" si="113"/>
        <v>115.9</v>
      </c>
      <c r="K346" s="434">
        <f t="shared" si="114"/>
        <v>5795</v>
      </c>
      <c r="L346" s="176">
        <f t="shared" si="115"/>
        <v>111.06</v>
      </c>
      <c r="M346" s="434">
        <f t="shared" si="116"/>
        <v>5553</v>
      </c>
      <c r="N346" s="436"/>
      <c r="O346" s="442">
        <v>4828</v>
      </c>
      <c r="P346" s="437">
        <v>50</v>
      </c>
      <c r="Q346" s="456"/>
      <c r="R346" s="499"/>
    </row>
    <row r="347" spans="1:18" s="505" customFormat="1" ht="15.75" customHeight="1">
      <c r="A347" s="519" t="s">
        <v>622</v>
      </c>
      <c r="B347" s="821" t="s">
        <v>726</v>
      </c>
      <c r="C347" s="822"/>
      <c r="D347" s="823"/>
      <c r="E347" s="419" t="s">
        <v>498</v>
      </c>
      <c r="F347" s="328">
        <f t="shared" si="109"/>
        <v>54.8</v>
      </c>
      <c r="G347" s="433">
        <f t="shared" si="110"/>
        <v>5480</v>
      </c>
      <c r="H347" s="328">
        <f t="shared" si="111"/>
        <v>52.7</v>
      </c>
      <c r="I347" s="433">
        <f t="shared" si="112"/>
        <v>5270</v>
      </c>
      <c r="J347" s="328">
        <f t="shared" si="113"/>
        <v>50.6</v>
      </c>
      <c r="K347" s="433">
        <f t="shared" si="114"/>
        <v>5060</v>
      </c>
      <c r="L347" s="328">
        <f t="shared" si="115"/>
        <v>48.45</v>
      </c>
      <c r="M347" s="433">
        <f t="shared" si="116"/>
        <v>4845</v>
      </c>
      <c r="N347" s="436"/>
      <c r="O347" s="442">
        <v>4213</v>
      </c>
      <c r="P347" s="437">
        <v>100</v>
      </c>
      <c r="Q347" s="456"/>
      <c r="R347" s="499"/>
    </row>
    <row r="348" spans="1:18" s="505" customFormat="1" ht="15.75" customHeight="1">
      <c r="A348" s="520" t="s">
        <v>623</v>
      </c>
      <c r="B348" s="924" t="s">
        <v>499</v>
      </c>
      <c r="C348" s="925"/>
      <c r="D348" s="926"/>
      <c r="E348" s="364" t="s">
        <v>501</v>
      </c>
      <c r="F348" s="175">
        <f t="shared" si="109"/>
        <v>59.8</v>
      </c>
      <c r="G348" s="429">
        <f t="shared" si="110"/>
        <v>2990</v>
      </c>
      <c r="H348" s="175">
        <f t="shared" si="111"/>
        <v>57.5</v>
      </c>
      <c r="I348" s="429">
        <f t="shared" si="112"/>
        <v>2875</v>
      </c>
      <c r="J348" s="175">
        <f t="shared" si="113"/>
        <v>55.2</v>
      </c>
      <c r="K348" s="429">
        <f t="shared" si="114"/>
        <v>2760</v>
      </c>
      <c r="L348" s="175">
        <f t="shared" si="115"/>
        <v>52.9</v>
      </c>
      <c r="M348" s="429">
        <f t="shared" si="116"/>
        <v>2645</v>
      </c>
      <c r="N348" s="436"/>
      <c r="O348" s="442">
        <v>2300</v>
      </c>
      <c r="P348" s="437">
        <v>50</v>
      </c>
      <c r="Q348" s="456"/>
      <c r="R348" s="499"/>
    </row>
    <row r="349" spans="1:18" s="505" customFormat="1" ht="15.75" customHeight="1" thickBot="1">
      <c r="A349" s="521" t="s">
        <v>624</v>
      </c>
      <c r="B349" s="927" t="s">
        <v>500</v>
      </c>
      <c r="C349" s="928"/>
      <c r="D349" s="929"/>
      <c r="E349" s="347" t="s">
        <v>501</v>
      </c>
      <c r="F349" s="372">
        <f t="shared" si="109"/>
        <v>57.2</v>
      </c>
      <c r="G349" s="430">
        <f t="shared" si="110"/>
        <v>2860</v>
      </c>
      <c r="H349" s="372">
        <f t="shared" si="111"/>
        <v>55</v>
      </c>
      <c r="I349" s="430">
        <f t="shared" si="112"/>
        <v>2750</v>
      </c>
      <c r="J349" s="372">
        <f t="shared" si="113"/>
        <v>52.8</v>
      </c>
      <c r="K349" s="430">
        <f t="shared" si="114"/>
        <v>2640</v>
      </c>
      <c r="L349" s="372">
        <f t="shared" si="115"/>
        <v>50.6</v>
      </c>
      <c r="M349" s="430">
        <f t="shared" si="116"/>
        <v>2530</v>
      </c>
      <c r="N349" s="436"/>
      <c r="O349" s="442">
        <v>2200</v>
      </c>
      <c r="P349" s="437">
        <v>50</v>
      </c>
      <c r="Q349" s="456"/>
      <c r="R349" s="499"/>
    </row>
    <row r="350" spans="1:18" ht="39.75" customHeight="1" hidden="1" thickTop="1">
      <c r="A350" s="799" t="s">
        <v>489</v>
      </c>
      <c r="B350" s="799"/>
      <c r="C350" s="799"/>
      <c r="D350" s="799"/>
      <c r="E350" s="799"/>
      <c r="F350" s="799"/>
      <c r="G350" s="799"/>
      <c r="H350" s="799"/>
      <c r="I350" s="799"/>
      <c r="J350" s="799"/>
      <c r="K350" s="799"/>
      <c r="L350" s="799"/>
      <c r="M350" s="799"/>
      <c r="Q350" s="225"/>
      <c r="R350" s="225"/>
    </row>
    <row r="351" spans="1:18" ht="15.75" customHeight="1" hidden="1">
      <c r="A351" s="803" t="s">
        <v>84</v>
      </c>
      <c r="B351" s="670" t="s">
        <v>85</v>
      </c>
      <c r="C351" s="671"/>
      <c r="D351" s="672"/>
      <c r="E351" s="185" t="s">
        <v>495</v>
      </c>
      <c r="F351" s="701" t="s">
        <v>48</v>
      </c>
      <c r="G351" s="702"/>
      <c r="H351" s="701" t="s">
        <v>45</v>
      </c>
      <c r="I351" s="702"/>
      <c r="J351" s="701" t="s">
        <v>46</v>
      </c>
      <c r="K351" s="702"/>
      <c r="L351" s="701" t="s">
        <v>47</v>
      </c>
      <c r="M351" s="702"/>
      <c r="N351" s="756" t="s">
        <v>83</v>
      </c>
      <c r="O351" s="757"/>
      <c r="Q351" s="758"/>
      <c r="R351" s="759"/>
    </row>
    <row r="352" spans="1:18" ht="15.75" customHeight="1" hidden="1" thickBot="1">
      <c r="A352" s="804"/>
      <c r="B352" s="663"/>
      <c r="C352" s="664"/>
      <c r="D352" s="665"/>
      <c r="E352" s="188" t="s">
        <v>496</v>
      </c>
      <c r="F352" s="182" t="s">
        <v>27</v>
      </c>
      <c r="G352" s="183" t="s">
        <v>26</v>
      </c>
      <c r="H352" s="182" t="s">
        <v>27</v>
      </c>
      <c r="I352" s="183" t="s">
        <v>26</v>
      </c>
      <c r="J352" s="182" t="s">
        <v>27</v>
      </c>
      <c r="K352" s="183" t="s">
        <v>26</v>
      </c>
      <c r="L352" s="182" t="s">
        <v>27</v>
      </c>
      <c r="M352" s="183" t="s">
        <v>26</v>
      </c>
      <c r="N352" s="282" t="s">
        <v>252</v>
      </c>
      <c r="O352" s="342" t="s">
        <v>65</v>
      </c>
      <c r="Q352" s="229"/>
      <c r="R352" s="461"/>
    </row>
    <row r="353" spans="1:18" ht="19.5" customHeight="1" hidden="1" thickTop="1">
      <c r="A353" s="359" t="s">
        <v>369</v>
      </c>
      <c r="B353" s="788" t="s">
        <v>493</v>
      </c>
      <c r="C353" s="789"/>
      <c r="D353" s="790"/>
      <c r="E353" s="354" t="s">
        <v>370</v>
      </c>
      <c r="F353" s="349"/>
      <c r="G353" s="161">
        <v>1200</v>
      </c>
      <c r="H353" s="349"/>
      <c r="I353" s="161">
        <v>1145</v>
      </c>
      <c r="J353" s="349"/>
      <c r="K353" s="161">
        <v>1090</v>
      </c>
      <c r="L353" s="349"/>
      <c r="M353" s="161">
        <v>1040</v>
      </c>
      <c r="N353"/>
      <c r="O353"/>
      <c r="P353"/>
      <c r="Q353"/>
      <c r="R353"/>
    </row>
    <row r="354" spans="1:18" ht="19.5" customHeight="1" hidden="1">
      <c r="A354" s="360" t="s">
        <v>371</v>
      </c>
      <c r="B354" s="780" t="s">
        <v>494</v>
      </c>
      <c r="C354" s="781"/>
      <c r="D354" s="782"/>
      <c r="E354" s="355" t="s">
        <v>370</v>
      </c>
      <c r="F354" s="350"/>
      <c r="G354" s="63">
        <v>1334</v>
      </c>
      <c r="H354" s="350"/>
      <c r="I354" s="63">
        <v>1270</v>
      </c>
      <c r="J354" s="350"/>
      <c r="K354" s="63">
        <v>1210</v>
      </c>
      <c r="L354" s="350"/>
      <c r="M354" s="63">
        <v>1150</v>
      </c>
      <c r="N354"/>
      <c r="O354"/>
      <c r="P354"/>
      <c r="Q354"/>
      <c r="R354"/>
    </row>
    <row r="355" spans="1:18" ht="19.5" customHeight="1" hidden="1">
      <c r="A355" s="361" t="s">
        <v>372</v>
      </c>
      <c r="B355" s="800" t="s">
        <v>490</v>
      </c>
      <c r="C355" s="801"/>
      <c r="D355" s="802"/>
      <c r="E355" s="356" t="s">
        <v>373</v>
      </c>
      <c r="F355" s="351"/>
      <c r="G355" s="53">
        <v>3300</v>
      </c>
      <c r="H355" s="351"/>
      <c r="I355" s="53">
        <v>3200</v>
      </c>
      <c r="J355" s="351"/>
      <c r="K355" s="53">
        <v>3100</v>
      </c>
      <c r="L355" s="351"/>
      <c r="M355" s="53">
        <v>3000</v>
      </c>
      <c r="N355"/>
      <c r="O355"/>
      <c r="P355"/>
      <c r="Q355"/>
      <c r="R355"/>
    </row>
    <row r="356" spans="1:18" ht="19.5" customHeight="1" hidden="1">
      <c r="A356" s="362" t="s">
        <v>372</v>
      </c>
      <c r="B356" s="783" t="s">
        <v>490</v>
      </c>
      <c r="C356" s="784"/>
      <c r="D356" s="785"/>
      <c r="E356" s="357" t="s">
        <v>374</v>
      </c>
      <c r="F356" s="352"/>
      <c r="G356" s="49">
        <v>6400</v>
      </c>
      <c r="H356" s="352"/>
      <c r="I356" s="49">
        <v>6200</v>
      </c>
      <c r="J356" s="352"/>
      <c r="K356" s="49">
        <v>6000</v>
      </c>
      <c r="L356" s="352"/>
      <c r="M356" s="49">
        <v>5800</v>
      </c>
      <c r="N356"/>
      <c r="O356"/>
      <c r="P356"/>
      <c r="Q356"/>
      <c r="R356"/>
    </row>
    <row r="357" spans="1:18" ht="19.5" customHeight="1" hidden="1">
      <c r="A357" s="360" t="s">
        <v>375</v>
      </c>
      <c r="B357" s="780" t="s">
        <v>490</v>
      </c>
      <c r="C357" s="781"/>
      <c r="D357" s="782"/>
      <c r="E357" s="355" t="s">
        <v>376</v>
      </c>
      <c r="F357" s="350"/>
      <c r="G357" s="63">
        <v>3600</v>
      </c>
      <c r="H357" s="350"/>
      <c r="I357" s="63">
        <v>3500</v>
      </c>
      <c r="J357" s="350"/>
      <c r="K357" s="63">
        <v>3400</v>
      </c>
      <c r="L357" s="350"/>
      <c r="M357" s="63">
        <v>3300</v>
      </c>
      <c r="N357"/>
      <c r="O357"/>
      <c r="P357"/>
      <c r="Q357"/>
      <c r="R357"/>
    </row>
    <row r="358" spans="1:18" ht="19.5" customHeight="1" hidden="1">
      <c r="A358" s="361" t="s">
        <v>377</v>
      </c>
      <c r="B358" s="800" t="s">
        <v>491</v>
      </c>
      <c r="C358" s="801"/>
      <c r="D358" s="802"/>
      <c r="E358" s="356" t="s">
        <v>378</v>
      </c>
      <c r="F358" s="351"/>
      <c r="G358" s="53">
        <v>2540</v>
      </c>
      <c r="H358" s="351"/>
      <c r="I358" s="53">
        <v>2420</v>
      </c>
      <c r="J358" s="351"/>
      <c r="K358" s="53">
        <v>2310</v>
      </c>
      <c r="L358" s="351"/>
      <c r="M358" s="53">
        <v>2200</v>
      </c>
      <c r="N358"/>
      <c r="O358"/>
      <c r="P358"/>
      <c r="Q358"/>
      <c r="R358"/>
    </row>
    <row r="359" spans="1:18" ht="19.5" customHeight="1" hidden="1" thickBot="1">
      <c r="A359" s="363" t="s">
        <v>379</v>
      </c>
      <c r="B359" s="930" t="s">
        <v>492</v>
      </c>
      <c r="C359" s="931"/>
      <c r="D359" s="932"/>
      <c r="E359" s="358" t="s">
        <v>380</v>
      </c>
      <c r="F359" s="353"/>
      <c r="G359" s="51">
        <v>2430</v>
      </c>
      <c r="H359" s="353"/>
      <c r="I359" s="51">
        <v>2315</v>
      </c>
      <c r="J359" s="353"/>
      <c r="K359" s="51">
        <v>2205</v>
      </c>
      <c r="L359" s="353"/>
      <c r="M359" s="51">
        <v>2100</v>
      </c>
      <c r="N359"/>
      <c r="O359"/>
      <c r="P359"/>
      <c r="Q359"/>
      <c r="R359"/>
    </row>
    <row r="360" ht="13.5" hidden="1" thickTop="1"/>
    <row r="361" ht="12.75" hidden="1"/>
    <row r="362" spans="1:18" ht="39.75" customHeight="1" hidden="1">
      <c r="A362" s="799" t="s">
        <v>216</v>
      </c>
      <c r="B362" s="799"/>
      <c r="C362" s="799"/>
      <c r="D362" s="799"/>
      <c r="E362" s="799"/>
      <c r="F362" s="799"/>
      <c r="G362" s="799"/>
      <c r="H362" s="799"/>
      <c r="I362" s="799"/>
      <c r="J362" s="799"/>
      <c r="K362" s="799"/>
      <c r="L362" s="799"/>
      <c r="M362" s="799"/>
      <c r="Q362" s="225"/>
      <c r="R362" s="225"/>
    </row>
    <row r="363" spans="1:18" s="502" customFormat="1" ht="15.75" customHeight="1" hidden="1">
      <c r="A363" s="670" t="s">
        <v>96</v>
      </c>
      <c r="B363" s="671"/>
      <c r="C363" s="671"/>
      <c r="D363" s="671"/>
      <c r="E363" s="672"/>
      <c r="F363" s="701" t="s">
        <v>48</v>
      </c>
      <c r="G363" s="702"/>
      <c r="H363" s="673" t="s">
        <v>45</v>
      </c>
      <c r="I363" s="674"/>
      <c r="J363" s="673" t="s">
        <v>46</v>
      </c>
      <c r="K363" s="674"/>
      <c r="L363" s="673" t="s">
        <v>47</v>
      </c>
      <c r="M363" s="674"/>
      <c r="N363" s="275"/>
      <c r="O363" s="333"/>
      <c r="P363" s="275"/>
      <c r="Q363" s="758"/>
      <c r="R363" s="759"/>
    </row>
    <row r="364" spans="1:18" ht="15.75" customHeight="1" hidden="1" thickBot="1">
      <c r="A364" s="663"/>
      <c r="B364" s="664"/>
      <c r="C364" s="664"/>
      <c r="D364" s="664"/>
      <c r="E364" s="665"/>
      <c r="F364" s="678" t="s">
        <v>90</v>
      </c>
      <c r="G364" s="679"/>
      <c r="H364" s="678" t="s">
        <v>90</v>
      </c>
      <c r="I364" s="679"/>
      <c r="J364" s="678" t="s">
        <v>90</v>
      </c>
      <c r="K364" s="679"/>
      <c r="L364" s="678" t="s">
        <v>90</v>
      </c>
      <c r="M364" s="679"/>
      <c r="N364" s="283" t="s">
        <v>16</v>
      </c>
      <c r="O364" s="338"/>
      <c r="Q364" s="745"/>
      <c r="R364" s="746"/>
    </row>
    <row r="365" spans="1:18" ht="15" customHeight="1" hidden="1" thickTop="1">
      <c r="A365" s="768" t="s">
        <v>230</v>
      </c>
      <c r="B365" s="769"/>
      <c r="C365" s="769"/>
      <c r="D365" s="769"/>
      <c r="E365" s="770"/>
      <c r="F365" s="796">
        <f aca="true" t="shared" si="117" ref="F365:F388">CEILING(N365*1.16,0.5)</f>
        <v>17.5</v>
      </c>
      <c r="G365" s="796"/>
      <c r="H365" s="796">
        <f aca="true" t="shared" si="118" ref="H365:H388">CEILING(N365*1.14,0.5)</f>
        <v>17.5</v>
      </c>
      <c r="I365" s="796"/>
      <c r="J365" s="796">
        <f aca="true" t="shared" si="119" ref="J365:J388">CEILING(N365*1.12,0.5)</f>
        <v>17</v>
      </c>
      <c r="K365" s="796"/>
      <c r="L365" s="796">
        <f aca="true" t="shared" si="120" ref="L365:L388">CEILING(N365*1.1,0.5)</f>
        <v>16.5</v>
      </c>
      <c r="M365" s="796"/>
      <c r="N365" s="273">
        <v>15</v>
      </c>
      <c r="O365" s="339"/>
      <c r="Q365" s="747"/>
      <c r="R365" s="747"/>
    </row>
    <row r="366" spans="1:18" ht="15" customHeight="1" hidden="1">
      <c r="A366" s="709" t="s">
        <v>231</v>
      </c>
      <c r="B366" s="710"/>
      <c r="C366" s="710"/>
      <c r="D366" s="710"/>
      <c r="E366" s="711"/>
      <c r="F366" s="764">
        <f t="shared" si="117"/>
        <v>19</v>
      </c>
      <c r="G366" s="764"/>
      <c r="H366" s="764">
        <f t="shared" si="118"/>
        <v>18.5</v>
      </c>
      <c r="I366" s="764"/>
      <c r="J366" s="764">
        <f t="shared" si="119"/>
        <v>18</v>
      </c>
      <c r="K366" s="764"/>
      <c r="L366" s="764">
        <f t="shared" si="120"/>
        <v>18</v>
      </c>
      <c r="M366" s="764"/>
      <c r="N366" s="273">
        <v>16</v>
      </c>
      <c r="O366" s="339"/>
      <c r="Q366" s="739"/>
      <c r="R366" s="739"/>
    </row>
    <row r="367" spans="1:18" ht="15" customHeight="1" hidden="1">
      <c r="A367" s="709" t="s">
        <v>232</v>
      </c>
      <c r="B367" s="710"/>
      <c r="C367" s="710"/>
      <c r="D367" s="710"/>
      <c r="E367" s="711"/>
      <c r="F367" s="764">
        <f t="shared" si="117"/>
        <v>24.5</v>
      </c>
      <c r="G367" s="764"/>
      <c r="H367" s="764">
        <f t="shared" si="118"/>
        <v>24</v>
      </c>
      <c r="I367" s="764"/>
      <c r="J367" s="764">
        <f t="shared" si="119"/>
        <v>24</v>
      </c>
      <c r="K367" s="764"/>
      <c r="L367" s="764">
        <f t="shared" si="120"/>
        <v>23.5</v>
      </c>
      <c r="M367" s="764"/>
      <c r="N367" s="273">
        <v>21</v>
      </c>
      <c r="O367" s="339"/>
      <c r="Q367" s="739"/>
      <c r="R367" s="739"/>
    </row>
    <row r="368" spans="1:18" ht="15" customHeight="1" hidden="1">
      <c r="A368" s="709" t="s">
        <v>233</v>
      </c>
      <c r="B368" s="710"/>
      <c r="C368" s="710"/>
      <c r="D368" s="710"/>
      <c r="E368" s="711"/>
      <c r="F368" s="820">
        <f t="shared" si="117"/>
        <v>29</v>
      </c>
      <c r="G368" s="820"/>
      <c r="H368" s="764">
        <f t="shared" si="118"/>
        <v>28.5</v>
      </c>
      <c r="I368" s="764"/>
      <c r="J368" s="764">
        <f t="shared" si="119"/>
        <v>28</v>
      </c>
      <c r="K368" s="764"/>
      <c r="L368" s="764">
        <f t="shared" si="120"/>
        <v>27.5</v>
      </c>
      <c r="M368" s="764"/>
      <c r="N368" s="273">
        <v>25</v>
      </c>
      <c r="O368" s="339"/>
      <c r="Q368" s="739"/>
      <c r="R368" s="739"/>
    </row>
    <row r="369" spans="1:18" ht="15" customHeight="1" hidden="1">
      <c r="A369" s="709" t="s">
        <v>234</v>
      </c>
      <c r="B369" s="710"/>
      <c r="C369" s="710"/>
      <c r="D369" s="710"/>
      <c r="E369" s="711"/>
      <c r="F369" s="764">
        <f t="shared" si="117"/>
        <v>28</v>
      </c>
      <c r="G369" s="764"/>
      <c r="H369" s="764">
        <f t="shared" si="118"/>
        <v>27.5</v>
      </c>
      <c r="I369" s="764"/>
      <c r="J369" s="764">
        <f t="shared" si="119"/>
        <v>27</v>
      </c>
      <c r="K369" s="764"/>
      <c r="L369" s="764">
        <f t="shared" si="120"/>
        <v>26.5</v>
      </c>
      <c r="M369" s="764"/>
      <c r="N369" s="273">
        <v>24</v>
      </c>
      <c r="O369" s="339"/>
      <c r="Q369" s="739"/>
      <c r="R369" s="739"/>
    </row>
    <row r="370" spans="1:18" ht="15" customHeight="1" hidden="1">
      <c r="A370" s="709" t="s">
        <v>235</v>
      </c>
      <c r="B370" s="710"/>
      <c r="C370" s="710"/>
      <c r="D370" s="710"/>
      <c r="E370" s="711"/>
      <c r="F370" s="764">
        <f t="shared" si="117"/>
        <v>49</v>
      </c>
      <c r="G370" s="764"/>
      <c r="H370" s="764">
        <f t="shared" si="118"/>
        <v>48</v>
      </c>
      <c r="I370" s="764"/>
      <c r="J370" s="764">
        <f t="shared" si="119"/>
        <v>47.5</v>
      </c>
      <c r="K370" s="764"/>
      <c r="L370" s="764">
        <f t="shared" si="120"/>
        <v>46.5</v>
      </c>
      <c r="M370" s="764"/>
      <c r="N370" s="273">
        <v>42</v>
      </c>
      <c r="O370" s="339"/>
      <c r="Q370" s="739"/>
      <c r="R370" s="739"/>
    </row>
    <row r="371" spans="1:18" ht="15" customHeight="1" hidden="1">
      <c r="A371" s="893" t="s">
        <v>236</v>
      </c>
      <c r="B371" s="894"/>
      <c r="C371" s="894"/>
      <c r="D371" s="894"/>
      <c r="E371" s="895"/>
      <c r="F371" s="767">
        <f t="shared" si="117"/>
        <v>35</v>
      </c>
      <c r="G371" s="767"/>
      <c r="H371" s="767">
        <f t="shared" si="118"/>
        <v>34.5</v>
      </c>
      <c r="I371" s="767"/>
      <c r="J371" s="767">
        <f t="shared" si="119"/>
        <v>34</v>
      </c>
      <c r="K371" s="767"/>
      <c r="L371" s="767">
        <f t="shared" si="120"/>
        <v>33</v>
      </c>
      <c r="M371" s="767"/>
      <c r="N371" s="273">
        <v>30</v>
      </c>
      <c r="O371" s="339"/>
      <c r="Q371" s="744"/>
      <c r="R371" s="744"/>
    </row>
    <row r="372" spans="1:18" ht="15" customHeight="1" hidden="1">
      <c r="A372" s="733" t="s">
        <v>237</v>
      </c>
      <c r="B372" s="734"/>
      <c r="C372" s="734"/>
      <c r="D372" s="734"/>
      <c r="E372" s="735"/>
      <c r="F372" s="763">
        <f t="shared" si="117"/>
        <v>35</v>
      </c>
      <c r="G372" s="763"/>
      <c r="H372" s="763">
        <f t="shared" si="118"/>
        <v>34.5</v>
      </c>
      <c r="I372" s="763"/>
      <c r="J372" s="763">
        <f t="shared" si="119"/>
        <v>34</v>
      </c>
      <c r="K372" s="763"/>
      <c r="L372" s="763">
        <f t="shared" si="120"/>
        <v>33</v>
      </c>
      <c r="M372" s="763"/>
      <c r="N372" s="273">
        <v>30</v>
      </c>
      <c r="O372" s="339"/>
      <c r="Q372" s="934"/>
      <c r="R372" s="934"/>
    </row>
    <row r="373" spans="1:18" ht="15" customHeight="1" hidden="1">
      <c r="A373" s="893" t="s">
        <v>238</v>
      </c>
      <c r="B373" s="894"/>
      <c r="C373" s="894"/>
      <c r="D373" s="894"/>
      <c r="E373" s="895"/>
      <c r="F373" s="767">
        <f t="shared" si="117"/>
        <v>10.5</v>
      </c>
      <c r="G373" s="767"/>
      <c r="H373" s="767">
        <f t="shared" si="118"/>
        <v>10.5</v>
      </c>
      <c r="I373" s="767"/>
      <c r="J373" s="767">
        <f t="shared" si="119"/>
        <v>10.5</v>
      </c>
      <c r="K373" s="767"/>
      <c r="L373" s="767">
        <f t="shared" si="120"/>
        <v>10</v>
      </c>
      <c r="M373" s="767"/>
      <c r="N373" s="273">
        <v>9</v>
      </c>
      <c r="O373" s="339"/>
      <c r="Q373" s="744"/>
      <c r="R373" s="744"/>
    </row>
    <row r="374" spans="1:18" ht="15" customHeight="1" hidden="1">
      <c r="A374" s="733" t="s">
        <v>218</v>
      </c>
      <c r="B374" s="734"/>
      <c r="C374" s="734"/>
      <c r="D374" s="734" t="e">
        <f>#REF!</f>
        <v>#REF!</v>
      </c>
      <c r="E374" s="735"/>
      <c r="F374" s="763">
        <f t="shared" si="117"/>
        <v>29</v>
      </c>
      <c r="G374" s="763"/>
      <c r="H374" s="763">
        <f t="shared" si="118"/>
        <v>28.5</v>
      </c>
      <c r="I374" s="763"/>
      <c r="J374" s="763">
        <f t="shared" si="119"/>
        <v>28</v>
      </c>
      <c r="K374" s="763"/>
      <c r="L374" s="763">
        <f t="shared" si="120"/>
        <v>27.5</v>
      </c>
      <c r="M374" s="763"/>
      <c r="N374" s="273">
        <v>25</v>
      </c>
      <c r="O374" s="339"/>
      <c r="Q374" s="934"/>
      <c r="R374" s="934"/>
    </row>
    <row r="375" spans="1:18" ht="15" customHeight="1" hidden="1">
      <c r="A375" s="709" t="s">
        <v>217</v>
      </c>
      <c r="B375" s="710"/>
      <c r="C375" s="710"/>
      <c r="D375" s="710" t="e">
        <f>#REF!</f>
        <v>#REF!</v>
      </c>
      <c r="E375" s="711"/>
      <c r="F375" s="764">
        <f t="shared" si="117"/>
        <v>32.5</v>
      </c>
      <c r="G375" s="764"/>
      <c r="H375" s="764">
        <f t="shared" si="118"/>
        <v>32</v>
      </c>
      <c r="I375" s="764"/>
      <c r="J375" s="764">
        <f t="shared" si="119"/>
        <v>31.5</v>
      </c>
      <c r="K375" s="764"/>
      <c r="L375" s="764">
        <f t="shared" si="120"/>
        <v>31</v>
      </c>
      <c r="M375" s="764"/>
      <c r="N375" s="273">
        <v>28</v>
      </c>
      <c r="O375" s="339"/>
      <c r="Q375" s="739"/>
      <c r="R375" s="739"/>
    </row>
    <row r="376" spans="1:18" ht="15" customHeight="1" hidden="1">
      <c r="A376" s="709" t="s">
        <v>219</v>
      </c>
      <c r="B376" s="710"/>
      <c r="C376" s="710"/>
      <c r="D376" s="710" t="e">
        <f>#REF!</f>
        <v>#REF!</v>
      </c>
      <c r="E376" s="711"/>
      <c r="F376" s="764">
        <f t="shared" si="117"/>
        <v>35</v>
      </c>
      <c r="G376" s="764"/>
      <c r="H376" s="764">
        <f t="shared" si="118"/>
        <v>34.5</v>
      </c>
      <c r="I376" s="764"/>
      <c r="J376" s="764">
        <f t="shared" si="119"/>
        <v>34</v>
      </c>
      <c r="K376" s="764"/>
      <c r="L376" s="764">
        <f t="shared" si="120"/>
        <v>33</v>
      </c>
      <c r="M376" s="764"/>
      <c r="N376" s="273">
        <v>30</v>
      </c>
      <c r="O376" s="339"/>
      <c r="Q376" s="739"/>
      <c r="R376" s="739"/>
    </row>
    <row r="377" spans="1:18" ht="15" customHeight="1" hidden="1">
      <c r="A377" s="709" t="s">
        <v>220</v>
      </c>
      <c r="B377" s="710"/>
      <c r="C377" s="710"/>
      <c r="D377" s="710" t="e">
        <f>#REF!</f>
        <v>#REF!</v>
      </c>
      <c r="E377" s="711"/>
      <c r="F377" s="764">
        <f t="shared" si="117"/>
        <v>43</v>
      </c>
      <c r="G377" s="764"/>
      <c r="H377" s="764">
        <f t="shared" si="118"/>
        <v>42.5</v>
      </c>
      <c r="I377" s="764"/>
      <c r="J377" s="764">
        <f t="shared" si="119"/>
        <v>41.5</v>
      </c>
      <c r="K377" s="764"/>
      <c r="L377" s="764">
        <f t="shared" si="120"/>
        <v>41</v>
      </c>
      <c r="M377" s="764"/>
      <c r="N377" s="273">
        <v>37</v>
      </c>
      <c r="O377" s="339"/>
      <c r="Q377" s="739"/>
      <c r="R377" s="739"/>
    </row>
    <row r="378" spans="1:18" ht="15" customHeight="1" hidden="1">
      <c r="A378" s="709" t="s">
        <v>221</v>
      </c>
      <c r="B378" s="710"/>
      <c r="C378" s="710"/>
      <c r="D378" s="710" t="e">
        <f>#REF!</f>
        <v>#REF!</v>
      </c>
      <c r="E378" s="711"/>
      <c r="F378" s="764">
        <f t="shared" si="117"/>
        <v>49</v>
      </c>
      <c r="G378" s="764"/>
      <c r="H378" s="764">
        <f t="shared" si="118"/>
        <v>48</v>
      </c>
      <c r="I378" s="764"/>
      <c r="J378" s="764">
        <f t="shared" si="119"/>
        <v>47.5</v>
      </c>
      <c r="K378" s="764"/>
      <c r="L378" s="764">
        <f t="shared" si="120"/>
        <v>46.5</v>
      </c>
      <c r="M378" s="764"/>
      <c r="N378" s="273">
        <v>42</v>
      </c>
      <c r="O378" s="339"/>
      <c r="Q378" s="739"/>
      <c r="R378" s="739"/>
    </row>
    <row r="379" spans="1:18" ht="15" customHeight="1" hidden="1">
      <c r="A379" s="709" t="s">
        <v>222</v>
      </c>
      <c r="B379" s="710"/>
      <c r="C379" s="710"/>
      <c r="D379" s="710" t="e">
        <f>#REF!</f>
        <v>#REF!</v>
      </c>
      <c r="E379" s="711"/>
      <c r="F379" s="764">
        <f t="shared" si="117"/>
        <v>51.5</v>
      </c>
      <c r="G379" s="764"/>
      <c r="H379" s="764">
        <f t="shared" si="118"/>
        <v>50.5</v>
      </c>
      <c r="I379" s="764"/>
      <c r="J379" s="764">
        <f t="shared" si="119"/>
        <v>49.5</v>
      </c>
      <c r="K379" s="764"/>
      <c r="L379" s="764">
        <f t="shared" si="120"/>
        <v>48.5</v>
      </c>
      <c r="M379" s="764"/>
      <c r="N379" s="273">
        <v>44</v>
      </c>
      <c r="O379" s="339"/>
      <c r="Q379" s="739"/>
      <c r="R379" s="739"/>
    </row>
    <row r="380" spans="1:18" ht="15" customHeight="1" hidden="1">
      <c r="A380" s="709" t="s">
        <v>223</v>
      </c>
      <c r="B380" s="710"/>
      <c r="C380" s="710"/>
      <c r="D380" s="710" t="e">
        <f>#REF!</f>
        <v>#REF!</v>
      </c>
      <c r="E380" s="711"/>
      <c r="F380" s="764">
        <f t="shared" si="117"/>
        <v>66.5</v>
      </c>
      <c r="G380" s="764"/>
      <c r="H380" s="764">
        <f t="shared" si="118"/>
        <v>65</v>
      </c>
      <c r="I380" s="764"/>
      <c r="J380" s="764">
        <f t="shared" si="119"/>
        <v>64</v>
      </c>
      <c r="K380" s="764"/>
      <c r="L380" s="764">
        <f t="shared" si="120"/>
        <v>63</v>
      </c>
      <c r="M380" s="764"/>
      <c r="N380" s="273">
        <v>57</v>
      </c>
      <c r="O380" s="339"/>
      <c r="Q380" s="739"/>
      <c r="R380" s="739"/>
    </row>
    <row r="381" spans="1:18" ht="15" customHeight="1" hidden="1">
      <c r="A381" s="893" t="s">
        <v>224</v>
      </c>
      <c r="B381" s="894"/>
      <c r="C381" s="894"/>
      <c r="D381" s="894" t="e">
        <f>#REF!</f>
        <v>#REF!</v>
      </c>
      <c r="E381" s="895"/>
      <c r="F381" s="767">
        <f t="shared" si="117"/>
        <v>72</v>
      </c>
      <c r="G381" s="767"/>
      <c r="H381" s="767">
        <f t="shared" si="118"/>
        <v>71</v>
      </c>
      <c r="I381" s="767"/>
      <c r="J381" s="767">
        <f t="shared" si="119"/>
        <v>69.5</v>
      </c>
      <c r="K381" s="767"/>
      <c r="L381" s="767">
        <f t="shared" si="120"/>
        <v>68.5</v>
      </c>
      <c r="M381" s="767"/>
      <c r="N381" s="273">
        <v>62</v>
      </c>
      <c r="O381" s="339"/>
      <c r="Q381" s="744"/>
      <c r="R381" s="744"/>
    </row>
    <row r="382" spans="1:18" ht="15" customHeight="1" hidden="1">
      <c r="A382" s="709" t="s">
        <v>366</v>
      </c>
      <c r="B382" s="710"/>
      <c r="C382" s="710"/>
      <c r="D382" s="710"/>
      <c r="E382" s="711"/>
      <c r="F382" s="764">
        <f>CEILING(N382*1.5,1)</f>
        <v>95</v>
      </c>
      <c r="G382" s="764"/>
      <c r="H382" s="764">
        <f>CEILING(N382*1.4,1)</f>
        <v>89</v>
      </c>
      <c r="I382" s="764"/>
      <c r="J382" s="764">
        <f>CEILING(N382*1.3,1)</f>
        <v>82</v>
      </c>
      <c r="K382" s="764"/>
      <c r="L382" s="764">
        <f>CEILING(N382*1.2,1)</f>
        <v>76</v>
      </c>
      <c r="M382" s="764"/>
      <c r="N382" s="273">
        <v>63</v>
      </c>
      <c r="O382" s="339"/>
      <c r="Q382" s="739"/>
      <c r="R382" s="739"/>
    </row>
    <row r="383" spans="1:18" ht="15" customHeight="1" hidden="1">
      <c r="A383" s="709" t="s">
        <v>367</v>
      </c>
      <c r="B383" s="710"/>
      <c r="C383" s="710"/>
      <c r="D383" s="710"/>
      <c r="E383" s="711"/>
      <c r="F383" s="764">
        <f>CEILING(N383*1.5,1)</f>
        <v>120</v>
      </c>
      <c r="G383" s="764"/>
      <c r="H383" s="764">
        <f>CEILING(N383*1.4,1)</f>
        <v>112</v>
      </c>
      <c r="I383" s="764"/>
      <c r="J383" s="764">
        <f>CEILING(N383*1.3,1)</f>
        <v>104</v>
      </c>
      <c r="K383" s="764"/>
      <c r="L383" s="764">
        <f>CEILING(N383*1.2,1)</f>
        <v>96</v>
      </c>
      <c r="M383" s="764"/>
      <c r="N383" s="273">
        <v>80</v>
      </c>
      <c r="O383" s="339"/>
      <c r="Q383" s="739"/>
      <c r="R383" s="739"/>
    </row>
    <row r="384" spans="1:18" ht="15" customHeight="1" hidden="1">
      <c r="A384" s="893" t="s">
        <v>368</v>
      </c>
      <c r="B384" s="894"/>
      <c r="C384" s="894"/>
      <c r="D384" s="894"/>
      <c r="E384" s="895"/>
      <c r="F384" s="767">
        <f>CEILING(N384*1.5,1)</f>
        <v>64</v>
      </c>
      <c r="G384" s="767"/>
      <c r="H384" s="767">
        <f>CEILING(N384*1.4,1)</f>
        <v>60</v>
      </c>
      <c r="I384" s="767"/>
      <c r="J384" s="767">
        <f>CEILING(N384*1.3,1)</f>
        <v>56</v>
      </c>
      <c r="K384" s="767"/>
      <c r="L384" s="767">
        <f>CEILING(N384*1.2,1)</f>
        <v>51</v>
      </c>
      <c r="M384" s="767"/>
      <c r="N384" s="273">
        <v>42.5</v>
      </c>
      <c r="O384" s="339"/>
      <c r="Q384" s="744"/>
      <c r="R384" s="744"/>
    </row>
    <row r="385" spans="1:18" ht="15" customHeight="1" hidden="1">
      <c r="A385" s="733" t="s">
        <v>227</v>
      </c>
      <c r="B385" s="734"/>
      <c r="C385" s="734"/>
      <c r="D385" s="734"/>
      <c r="E385" s="735"/>
      <c r="F385" s="763">
        <f t="shared" si="117"/>
        <v>29</v>
      </c>
      <c r="G385" s="763"/>
      <c r="H385" s="763">
        <f t="shared" si="118"/>
        <v>28.5</v>
      </c>
      <c r="I385" s="763"/>
      <c r="J385" s="763">
        <f t="shared" si="119"/>
        <v>28</v>
      </c>
      <c r="K385" s="763"/>
      <c r="L385" s="763">
        <f t="shared" si="120"/>
        <v>27.5</v>
      </c>
      <c r="M385" s="763"/>
      <c r="N385" s="273">
        <v>25</v>
      </c>
      <c r="O385" s="339"/>
      <c r="Q385" s="934"/>
      <c r="R385" s="934"/>
    </row>
    <row r="386" spans="1:18" ht="15" customHeight="1" hidden="1">
      <c r="A386" s="709" t="s">
        <v>228</v>
      </c>
      <c r="B386" s="710"/>
      <c r="C386" s="710"/>
      <c r="D386" s="710"/>
      <c r="E386" s="711"/>
      <c r="F386" s="764">
        <f t="shared" si="117"/>
        <v>24.5</v>
      </c>
      <c r="G386" s="764"/>
      <c r="H386" s="764">
        <f t="shared" si="118"/>
        <v>24</v>
      </c>
      <c r="I386" s="764"/>
      <c r="J386" s="764">
        <f t="shared" si="119"/>
        <v>24</v>
      </c>
      <c r="K386" s="764"/>
      <c r="L386" s="764">
        <f t="shared" si="120"/>
        <v>23.5</v>
      </c>
      <c r="M386" s="764"/>
      <c r="N386" s="273">
        <v>21</v>
      </c>
      <c r="O386" s="339"/>
      <c r="Q386" s="739"/>
      <c r="R386" s="739"/>
    </row>
    <row r="387" spans="1:18" ht="15" customHeight="1" hidden="1">
      <c r="A387" s="709" t="s">
        <v>229</v>
      </c>
      <c r="B387" s="710"/>
      <c r="C387" s="710"/>
      <c r="D387" s="710"/>
      <c r="E387" s="711"/>
      <c r="F387" s="764">
        <f t="shared" si="117"/>
        <v>35</v>
      </c>
      <c r="G387" s="764"/>
      <c r="H387" s="764">
        <f t="shared" si="118"/>
        <v>34.5</v>
      </c>
      <c r="I387" s="764"/>
      <c r="J387" s="764">
        <f t="shared" si="119"/>
        <v>34</v>
      </c>
      <c r="K387" s="764"/>
      <c r="L387" s="764">
        <f t="shared" si="120"/>
        <v>33</v>
      </c>
      <c r="M387" s="764"/>
      <c r="N387" s="273">
        <v>30</v>
      </c>
      <c r="O387" s="339"/>
      <c r="Q387" s="739"/>
      <c r="R387" s="739"/>
    </row>
    <row r="388" spans="1:18" ht="15" customHeight="1" hidden="1" thickBot="1">
      <c r="A388" s="811" t="s">
        <v>239</v>
      </c>
      <c r="B388" s="812"/>
      <c r="C388" s="812"/>
      <c r="D388" s="812"/>
      <c r="E388" s="813"/>
      <c r="F388" s="694">
        <f t="shared" si="117"/>
        <v>30.5</v>
      </c>
      <c r="G388" s="694"/>
      <c r="H388" s="694">
        <f t="shared" si="118"/>
        <v>30</v>
      </c>
      <c r="I388" s="694"/>
      <c r="J388" s="694">
        <f t="shared" si="119"/>
        <v>29.5</v>
      </c>
      <c r="K388" s="694"/>
      <c r="L388" s="694">
        <f t="shared" si="120"/>
        <v>29</v>
      </c>
      <c r="M388" s="694"/>
      <c r="N388" s="273">
        <v>26</v>
      </c>
      <c r="O388" s="339"/>
      <c r="Q388" s="740"/>
      <c r="R388" s="740"/>
    </row>
    <row r="389" spans="1:18" ht="39.75" customHeight="1" hidden="1" thickTop="1">
      <c r="A389" s="799" t="s">
        <v>263</v>
      </c>
      <c r="B389" s="799"/>
      <c r="C389" s="799"/>
      <c r="D389" s="799"/>
      <c r="E389" s="799"/>
      <c r="F389" s="799"/>
      <c r="G389" s="799"/>
      <c r="H389" s="799"/>
      <c r="I389" s="799"/>
      <c r="J389" s="799"/>
      <c r="K389" s="799"/>
      <c r="L389" s="799"/>
      <c r="M389" s="799"/>
      <c r="Q389" s="225"/>
      <c r="R389" s="225"/>
    </row>
    <row r="390" spans="1:18" s="502" customFormat="1" ht="15.75" customHeight="1" hidden="1">
      <c r="A390" s="670" t="s">
        <v>96</v>
      </c>
      <c r="B390" s="671"/>
      <c r="C390" s="671"/>
      <c r="D390" s="671"/>
      <c r="E390" s="672"/>
      <c r="F390" s="701" t="s">
        <v>48</v>
      </c>
      <c r="G390" s="702"/>
      <c r="H390" s="673" t="s">
        <v>45</v>
      </c>
      <c r="I390" s="674"/>
      <c r="J390" s="673" t="s">
        <v>46</v>
      </c>
      <c r="K390" s="674"/>
      <c r="L390" s="673" t="s">
        <v>47</v>
      </c>
      <c r="M390" s="674"/>
      <c r="N390" s="275"/>
      <c r="O390" s="333"/>
      <c r="P390" s="275"/>
      <c r="Q390" s="758"/>
      <c r="R390" s="759"/>
    </row>
    <row r="391" spans="1:18" ht="15.75" customHeight="1" hidden="1" thickBot="1">
      <c r="A391" s="663"/>
      <c r="B391" s="664"/>
      <c r="C391" s="664"/>
      <c r="D391" s="664"/>
      <c r="E391" s="665"/>
      <c r="F391" s="678" t="s">
        <v>90</v>
      </c>
      <c r="G391" s="679"/>
      <c r="H391" s="678" t="s">
        <v>90</v>
      </c>
      <c r="I391" s="679"/>
      <c r="J391" s="678" t="s">
        <v>90</v>
      </c>
      <c r="K391" s="679"/>
      <c r="L391" s="678" t="s">
        <v>90</v>
      </c>
      <c r="M391" s="679"/>
      <c r="N391" s="44" t="s">
        <v>35</v>
      </c>
      <c r="O391" s="338"/>
      <c r="Q391" s="745"/>
      <c r="R391" s="746"/>
    </row>
    <row r="392" spans="1:18" ht="15" customHeight="1" hidden="1" thickTop="1">
      <c r="A392" s="795" t="s">
        <v>255</v>
      </c>
      <c r="B392" s="795"/>
      <c r="C392" s="795"/>
      <c r="D392" s="795"/>
      <c r="E392" s="795"/>
      <c r="F392" s="796">
        <v>300</v>
      </c>
      <c r="G392" s="796"/>
      <c r="H392" s="796">
        <f>F392-10</f>
        <v>290</v>
      </c>
      <c r="I392" s="796"/>
      <c r="J392" s="796">
        <f>F392-20</f>
        <v>280</v>
      </c>
      <c r="K392" s="796"/>
      <c r="L392" s="796">
        <f>F392-30</f>
        <v>270</v>
      </c>
      <c r="M392" s="796"/>
      <c r="N392" s="279"/>
      <c r="O392" s="339"/>
      <c r="Q392" s="747"/>
      <c r="R392" s="747"/>
    </row>
    <row r="393" spans="1:18" ht="15" customHeight="1" hidden="1">
      <c r="A393" s="687" t="s">
        <v>264</v>
      </c>
      <c r="B393" s="687"/>
      <c r="C393" s="687"/>
      <c r="D393" s="687"/>
      <c r="E393" s="687"/>
      <c r="F393" s="767">
        <v>370</v>
      </c>
      <c r="G393" s="767"/>
      <c r="H393" s="767">
        <f>F393-10</f>
        <v>360</v>
      </c>
      <c r="I393" s="767"/>
      <c r="J393" s="767">
        <f>F393-20</f>
        <v>350</v>
      </c>
      <c r="K393" s="767"/>
      <c r="L393" s="767">
        <f>F393-30</f>
        <v>340</v>
      </c>
      <c r="M393" s="767"/>
      <c r="N393" s="279"/>
      <c r="O393" s="339"/>
      <c r="Q393" s="744"/>
      <c r="R393" s="744"/>
    </row>
    <row r="394" spans="1:18" ht="15" customHeight="1" hidden="1">
      <c r="A394" s="686" t="s">
        <v>254</v>
      </c>
      <c r="B394" s="686"/>
      <c r="C394" s="686"/>
      <c r="D394" s="686"/>
      <c r="E394" s="686"/>
      <c r="F394" s="763">
        <v>70</v>
      </c>
      <c r="G394" s="763"/>
      <c r="H394" s="763">
        <f>F394-3</f>
        <v>67</v>
      </c>
      <c r="I394" s="763"/>
      <c r="J394" s="763">
        <f>F394-7</f>
        <v>63</v>
      </c>
      <c r="K394" s="763"/>
      <c r="L394" s="763">
        <f>F394-10</f>
        <v>60</v>
      </c>
      <c r="M394" s="763"/>
      <c r="N394" s="279"/>
      <c r="O394" s="339"/>
      <c r="Q394" s="934"/>
      <c r="R394" s="934"/>
    </row>
    <row r="395" spans="1:18" ht="15" customHeight="1" hidden="1">
      <c r="A395" s="687" t="s">
        <v>253</v>
      </c>
      <c r="B395" s="687"/>
      <c r="C395" s="687"/>
      <c r="D395" s="687"/>
      <c r="E395" s="687"/>
      <c r="F395" s="767">
        <v>80</v>
      </c>
      <c r="G395" s="767"/>
      <c r="H395" s="767">
        <f>F395-3</f>
        <v>77</v>
      </c>
      <c r="I395" s="767"/>
      <c r="J395" s="767">
        <f>F395-7</f>
        <v>73</v>
      </c>
      <c r="K395" s="767"/>
      <c r="L395" s="767">
        <f>F395-10</f>
        <v>70</v>
      </c>
      <c r="M395" s="767"/>
      <c r="N395" s="279"/>
      <c r="O395" s="339"/>
      <c r="Q395" s="744"/>
      <c r="R395" s="744"/>
    </row>
    <row r="396" spans="1:18" ht="15" customHeight="1" hidden="1">
      <c r="A396" s="686" t="s">
        <v>265</v>
      </c>
      <c r="B396" s="686"/>
      <c r="C396" s="686"/>
      <c r="D396" s="686"/>
      <c r="E396" s="686"/>
      <c r="F396" s="763">
        <v>95</v>
      </c>
      <c r="G396" s="763"/>
      <c r="H396" s="763">
        <f>F396-5</f>
        <v>90</v>
      </c>
      <c r="I396" s="763"/>
      <c r="J396" s="763">
        <f>H396-5</f>
        <v>85</v>
      </c>
      <c r="K396" s="763"/>
      <c r="L396" s="763">
        <f>J396-5</f>
        <v>80</v>
      </c>
      <c r="M396" s="763"/>
      <c r="N396" s="279"/>
      <c r="O396" s="339"/>
      <c r="Q396" s="934"/>
      <c r="R396" s="934"/>
    </row>
    <row r="397" spans="1:18" ht="15" customHeight="1" hidden="1">
      <c r="A397" s="787" t="s">
        <v>266</v>
      </c>
      <c r="B397" s="787"/>
      <c r="C397" s="787"/>
      <c r="D397" s="787"/>
      <c r="E397" s="787"/>
      <c r="F397" s="764">
        <v>130</v>
      </c>
      <c r="G397" s="764"/>
      <c r="H397" s="764">
        <f>F397-5</f>
        <v>125</v>
      </c>
      <c r="I397" s="764"/>
      <c r="J397" s="764">
        <f>H397-5</f>
        <v>120</v>
      </c>
      <c r="K397" s="764"/>
      <c r="L397" s="764">
        <f>J397-5</f>
        <v>115</v>
      </c>
      <c r="M397" s="764"/>
      <c r="N397" s="279"/>
      <c r="O397" s="339"/>
      <c r="Q397" s="739"/>
      <c r="R397" s="739"/>
    </row>
    <row r="398" spans="1:18" ht="15" customHeight="1" hidden="1">
      <c r="A398" s="687" t="s">
        <v>268</v>
      </c>
      <c r="B398" s="687"/>
      <c r="C398" s="687"/>
      <c r="D398" s="687"/>
      <c r="E398" s="687"/>
      <c r="F398" s="767">
        <v>185</v>
      </c>
      <c r="G398" s="767"/>
      <c r="H398" s="767">
        <f>F398-5</f>
        <v>180</v>
      </c>
      <c r="I398" s="767"/>
      <c r="J398" s="767">
        <f>H398-5</f>
        <v>175</v>
      </c>
      <c r="K398" s="767"/>
      <c r="L398" s="767">
        <f>J398-5</f>
        <v>170</v>
      </c>
      <c r="M398" s="767"/>
      <c r="N398" s="279"/>
      <c r="O398" s="339"/>
      <c r="Q398" s="744"/>
      <c r="R398" s="744"/>
    </row>
    <row r="399" spans="1:18" ht="15" customHeight="1" hidden="1">
      <c r="A399" s="797" t="s">
        <v>267</v>
      </c>
      <c r="B399" s="797"/>
      <c r="C399" s="797"/>
      <c r="D399" s="797"/>
      <c r="E399" s="797"/>
      <c r="F399" s="798">
        <v>95</v>
      </c>
      <c r="G399" s="798"/>
      <c r="H399" s="798">
        <f>F399-5</f>
        <v>90</v>
      </c>
      <c r="I399" s="798"/>
      <c r="J399" s="798">
        <f>H399-5</f>
        <v>85</v>
      </c>
      <c r="K399" s="798"/>
      <c r="L399" s="798">
        <f>J399-5</f>
        <v>80</v>
      </c>
      <c r="M399" s="798"/>
      <c r="N399" s="279"/>
      <c r="O399" s="339"/>
      <c r="Q399" s="937"/>
      <c r="R399" s="937"/>
    </row>
    <row r="400" spans="1:18" ht="15" customHeight="1" hidden="1" thickBot="1">
      <c r="A400" s="685" t="s">
        <v>269</v>
      </c>
      <c r="B400" s="685"/>
      <c r="C400" s="685"/>
      <c r="D400" s="685"/>
      <c r="E400" s="685"/>
      <c r="F400" s="694">
        <v>125</v>
      </c>
      <c r="G400" s="694"/>
      <c r="H400" s="694">
        <f>F400-5</f>
        <v>120</v>
      </c>
      <c r="I400" s="694"/>
      <c r="J400" s="694">
        <f>H400-5</f>
        <v>115</v>
      </c>
      <c r="K400" s="694"/>
      <c r="L400" s="694">
        <f>J400-5</f>
        <v>110</v>
      </c>
      <c r="M400" s="694"/>
      <c r="N400" s="279"/>
      <c r="O400" s="339"/>
      <c r="Q400" s="740"/>
      <c r="R400" s="740"/>
    </row>
    <row r="401" spans="1:18" ht="39.75" customHeight="1" thickTop="1">
      <c r="A401" s="659" t="s">
        <v>580</v>
      </c>
      <c r="B401" s="659"/>
      <c r="C401" s="659"/>
      <c r="D401" s="659"/>
      <c r="E401" s="659"/>
      <c r="F401" s="659"/>
      <c r="G401" s="659"/>
      <c r="H401" s="659"/>
      <c r="I401" s="659"/>
      <c r="J401" s="659"/>
      <c r="K401" s="659"/>
      <c r="L401" s="659"/>
      <c r="M401" s="659"/>
      <c r="Q401" s="225"/>
      <c r="R401" s="225"/>
    </row>
    <row r="402" spans="1:18" ht="15.75" customHeight="1">
      <c r="A402" s="803" t="s">
        <v>84</v>
      </c>
      <c r="B402" s="670" t="s">
        <v>85</v>
      </c>
      <c r="C402" s="671"/>
      <c r="D402" s="672"/>
      <c r="E402" s="185" t="s">
        <v>495</v>
      </c>
      <c r="F402" s="701" t="s">
        <v>48</v>
      </c>
      <c r="G402" s="702"/>
      <c r="H402" s="701" t="s">
        <v>45</v>
      </c>
      <c r="I402" s="702"/>
      <c r="J402" s="701" t="s">
        <v>46</v>
      </c>
      <c r="K402" s="702"/>
      <c r="L402" s="701" t="s">
        <v>47</v>
      </c>
      <c r="M402" s="702"/>
      <c r="N402" s="756" t="s">
        <v>83</v>
      </c>
      <c r="O402" s="757"/>
      <c r="Q402" s="758"/>
      <c r="R402" s="759"/>
    </row>
    <row r="403" spans="1:18" ht="15.75" customHeight="1" thickBot="1">
      <c r="A403" s="804"/>
      <c r="B403" s="663"/>
      <c r="C403" s="664"/>
      <c r="D403" s="665"/>
      <c r="E403" s="188" t="s">
        <v>496</v>
      </c>
      <c r="F403" s="182" t="s">
        <v>27</v>
      </c>
      <c r="G403" s="183" t="s">
        <v>26</v>
      </c>
      <c r="H403" s="182" t="s">
        <v>27</v>
      </c>
      <c r="I403" s="183" t="s">
        <v>26</v>
      </c>
      <c r="J403" s="182" t="s">
        <v>27</v>
      </c>
      <c r="K403" s="183" t="s">
        <v>26</v>
      </c>
      <c r="L403" s="182" t="s">
        <v>27</v>
      </c>
      <c r="M403" s="183" t="s">
        <v>26</v>
      </c>
      <c r="N403" s="282" t="s">
        <v>252</v>
      </c>
      <c r="O403" s="342" t="s">
        <v>65</v>
      </c>
      <c r="Q403" s="229"/>
      <c r="R403" s="461"/>
    </row>
    <row r="404" spans="1:18" s="506" customFormat="1" ht="15" customHeight="1" thickTop="1">
      <c r="A404" s="439" t="s">
        <v>444</v>
      </c>
      <c r="B404" s="760" t="s">
        <v>445</v>
      </c>
      <c r="C404" s="761"/>
      <c r="D404" s="762"/>
      <c r="E404" s="440" t="s">
        <v>67</v>
      </c>
      <c r="F404" s="175">
        <f>G404/P404</f>
        <v>43</v>
      </c>
      <c r="G404" s="429">
        <f>CEILING(O404*1.3,10)</f>
        <v>860</v>
      </c>
      <c r="H404" s="175">
        <f>I404/P404</f>
        <v>41.25</v>
      </c>
      <c r="I404" s="429">
        <f>CEILING(O404*1.25,5)</f>
        <v>825</v>
      </c>
      <c r="J404" s="175">
        <f>K404/P404</f>
        <v>39.75</v>
      </c>
      <c r="K404" s="429">
        <f>CEILING(O404*1.2,5)</f>
        <v>795</v>
      </c>
      <c r="L404" s="175">
        <f>M404/P404</f>
        <v>37.95</v>
      </c>
      <c r="M404" s="429">
        <f>CEILING(O404*1.15,1)</f>
        <v>759</v>
      </c>
      <c r="N404" s="441"/>
      <c r="O404" s="442">
        <v>660</v>
      </c>
      <c r="P404" s="441">
        <v>20</v>
      </c>
      <c r="Q404" s="441"/>
      <c r="R404" s="441"/>
    </row>
    <row r="405" spans="1:18" s="506" customFormat="1" ht="15" customHeight="1">
      <c r="A405" s="439" t="s">
        <v>450</v>
      </c>
      <c r="B405" s="760" t="s">
        <v>451</v>
      </c>
      <c r="C405" s="761"/>
      <c r="D405" s="762"/>
      <c r="E405" s="440" t="s">
        <v>67</v>
      </c>
      <c r="F405" s="175">
        <f>G405/P405</f>
        <v>57.5</v>
      </c>
      <c r="G405" s="429">
        <f>CEILING(O405*1.3,10)</f>
        <v>1150</v>
      </c>
      <c r="H405" s="175">
        <f>I405/P405</f>
        <v>55</v>
      </c>
      <c r="I405" s="429">
        <f>CEILING(O405*1.25,5)</f>
        <v>1100</v>
      </c>
      <c r="J405" s="175">
        <f>K405/P405</f>
        <v>53</v>
      </c>
      <c r="K405" s="429">
        <f>CEILING(O405*1.2,5)</f>
        <v>1060</v>
      </c>
      <c r="L405" s="175">
        <f>M405/P405</f>
        <v>50.6</v>
      </c>
      <c r="M405" s="429">
        <f>CEILING(O405*1.15,1)</f>
        <v>1012</v>
      </c>
      <c r="N405" s="441"/>
      <c r="O405" s="442">
        <v>880</v>
      </c>
      <c r="P405" s="441">
        <v>20</v>
      </c>
      <c r="Q405" s="441"/>
      <c r="R405" s="441"/>
    </row>
    <row r="406" spans="1:18" s="506" customFormat="1" ht="15" customHeight="1">
      <c r="A406" s="439" t="s">
        <v>453</v>
      </c>
      <c r="B406" s="760" t="s">
        <v>454</v>
      </c>
      <c r="C406" s="761"/>
      <c r="D406" s="762"/>
      <c r="E406" s="440" t="s">
        <v>67</v>
      </c>
      <c r="F406" s="175">
        <f>G406/P406</f>
        <v>57.5</v>
      </c>
      <c r="G406" s="429">
        <f>CEILING(O406*1.3,10)</f>
        <v>1150</v>
      </c>
      <c r="H406" s="175">
        <f>I406/P406</f>
        <v>55</v>
      </c>
      <c r="I406" s="429">
        <f>CEILING(O406*1.25,5)</f>
        <v>1100</v>
      </c>
      <c r="J406" s="175">
        <f>K406/P406</f>
        <v>53</v>
      </c>
      <c r="K406" s="429">
        <f>CEILING(O406*1.2,5)</f>
        <v>1060</v>
      </c>
      <c r="L406" s="175">
        <f>M406/P406</f>
        <v>50.6</v>
      </c>
      <c r="M406" s="429">
        <f>CEILING(O406*1.15,1)</f>
        <v>1012</v>
      </c>
      <c r="N406" s="441"/>
      <c r="O406" s="442">
        <v>880</v>
      </c>
      <c r="P406" s="441">
        <v>20</v>
      </c>
      <c r="Q406" s="441"/>
      <c r="R406" s="441"/>
    </row>
    <row r="407" spans="1:18" s="506" customFormat="1" ht="15" customHeight="1">
      <c r="A407" s="439" t="s">
        <v>482</v>
      </c>
      <c r="B407" s="760" t="s">
        <v>479</v>
      </c>
      <c r="C407" s="761"/>
      <c r="D407" s="762"/>
      <c r="E407" s="440" t="s">
        <v>446</v>
      </c>
      <c r="F407" s="175">
        <f>G407/P407</f>
        <v>62</v>
      </c>
      <c r="G407" s="429">
        <f>CEILING(O407*1.3,10)</f>
        <v>1240</v>
      </c>
      <c r="H407" s="175">
        <f>I407/P407</f>
        <v>59.75</v>
      </c>
      <c r="I407" s="429">
        <f>CEILING(O407*1.25,5)</f>
        <v>1195</v>
      </c>
      <c r="J407" s="175">
        <f>K407/P407</f>
        <v>57.25</v>
      </c>
      <c r="K407" s="429">
        <f>CEILING(O407*1.2,5)</f>
        <v>1145</v>
      </c>
      <c r="L407" s="175">
        <f>M407/P407</f>
        <v>54.8</v>
      </c>
      <c r="M407" s="429">
        <f>CEILING(O407*1.15,1)</f>
        <v>1096</v>
      </c>
      <c r="N407" s="441"/>
      <c r="O407" s="442">
        <v>953</v>
      </c>
      <c r="P407" s="441">
        <v>20</v>
      </c>
      <c r="Q407" s="441"/>
      <c r="R407" s="441"/>
    </row>
    <row r="408" spans="1:18" s="506" customFormat="1" ht="15" customHeight="1" thickBot="1">
      <c r="A408" s="458" t="s">
        <v>480</v>
      </c>
      <c r="B408" s="777" t="s">
        <v>479</v>
      </c>
      <c r="C408" s="778"/>
      <c r="D408" s="779"/>
      <c r="E408" s="459" t="s">
        <v>481</v>
      </c>
      <c r="F408" s="372">
        <f>G408/P408</f>
        <v>128</v>
      </c>
      <c r="G408" s="430">
        <f>CEILING(O408*1.3,10)</f>
        <v>2560</v>
      </c>
      <c r="H408" s="372">
        <f>I408/P408</f>
        <v>123</v>
      </c>
      <c r="I408" s="430">
        <f>CEILING(O408*1.25,5)</f>
        <v>2460</v>
      </c>
      <c r="J408" s="372">
        <f>K408/P408</f>
        <v>118</v>
      </c>
      <c r="K408" s="430">
        <f>CEILING(O408*1.2,5)</f>
        <v>2360</v>
      </c>
      <c r="L408" s="372">
        <f>M408/P408</f>
        <v>113.05</v>
      </c>
      <c r="M408" s="430">
        <f>CEILING(O408*1.15,1)</f>
        <v>2261</v>
      </c>
      <c r="N408" s="441"/>
      <c r="O408" s="442">
        <v>1966</v>
      </c>
      <c r="P408" s="441">
        <v>20</v>
      </c>
      <c r="Q408" s="441"/>
      <c r="R408" s="441"/>
    </row>
    <row r="409" spans="1:18" ht="39.75" customHeight="1" thickTop="1">
      <c r="A409" s="659" t="s">
        <v>613</v>
      </c>
      <c r="B409" s="659"/>
      <c r="C409" s="659"/>
      <c r="D409" s="659"/>
      <c r="E409" s="659"/>
      <c r="F409" s="659"/>
      <c r="G409" s="659"/>
      <c r="H409" s="659"/>
      <c r="I409" s="659"/>
      <c r="J409" s="659"/>
      <c r="K409" s="659"/>
      <c r="L409" s="659"/>
      <c r="M409" s="659"/>
      <c r="Q409" s="225"/>
      <c r="R409" s="225"/>
    </row>
    <row r="410" spans="1:18" ht="15.75" customHeight="1">
      <c r="A410" s="670" t="s">
        <v>614</v>
      </c>
      <c r="B410" s="671"/>
      <c r="C410" s="671"/>
      <c r="D410" s="672"/>
      <c r="E410" s="185" t="s">
        <v>495</v>
      </c>
      <c r="F410" s="701" t="s">
        <v>48</v>
      </c>
      <c r="G410" s="702"/>
      <c r="H410" s="701" t="s">
        <v>45</v>
      </c>
      <c r="I410" s="702"/>
      <c r="J410" s="701" t="s">
        <v>46</v>
      </c>
      <c r="K410" s="702"/>
      <c r="L410" s="701" t="s">
        <v>47</v>
      </c>
      <c r="M410" s="702"/>
      <c r="N410" s="698" t="s">
        <v>16</v>
      </c>
      <c r="O410" s="699"/>
      <c r="P410" s="700"/>
      <c r="Q410" s="758"/>
      <c r="R410" s="759"/>
    </row>
    <row r="411" spans="1:18" ht="15.75" customHeight="1" thickBot="1">
      <c r="A411" s="663"/>
      <c r="B411" s="664"/>
      <c r="C411" s="664"/>
      <c r="D411" s="665"/>
      <c r="E411" s="188" t="s">
        <v>496</v>
      </c>
      <c r="F411" s="182" t="s">
        <v>27</v>
      </c>
      <c r="G411" s="183" t="s">
        <v>26</v>
      </c>
      <c r="H411" s="182" t="s">
        <v>27</v>
      </c>
      <c r="I411" s="183" t="s">
        <v>26</v>
      </c>
      <c r="J411" s="182" t="s">
        <v>27</v>
      </c>
      <c r="K411" s="183" t="s">
        <v>26</v>
      </c>
      <c r="L411" s="182" t="s">
        <v>27</v>
      </c>
      <c r="M411" s="183" t="s">
        <v>26</v>
      </c>
      <c r="N411" s="282"/>
      <c r="O411" s="342" t="s">
        <v>65</v>
      </c>
      <c r="P411" s="428" t="s">
        <v>24</v>
      </c>
      <c r="Q411" s="229"/>
      <c r="R411" s="461"/>
    </row>
    <row r="412" spans="1:18" ht="15.75" customHeight="1" thickTop="1">
      <c r="A412" s="774" t="s">
        <v>587</v>
      </c>
      <c r="B412" s="775"/>
      <c r="C412" s="775"/>
      <c r="D412" s="776"/>
      <c r="E412" s="460" t="s">
        <v>588</v>
      </c>
      <c r="F412" s="423">
        <f>G412/P412</f>
        <v>35</v>
      </c>
      <c r="G412" s="47">
        <v>700</v>
      </c>
      <c r="H412" s="423">
        <f>I412/P412</f>
        <v>32.25</v>
      </c>
      <c r="I412" s="47">
        <v>645</v>
      </c>
      <c r="J412" s="423">
        <f>K412/P412</f>
        <v>31.25</v>
      </c>
      <c r="K412" s="47">
        <v>625</v>
      </c>
      <c r="L412" s="423">
        <f>M412/P412</f>
        <v>30</v>
      </c>
      <c r="M412" s="47">
        <v>600</v>
      </c>
      <c r="N412" s="278"/>
      <c r="O412" s="332">
        <v>560</v>
      </c>
      <c r="P412" s="273">
        <v>20</v>
      </c>
      <c r="Q412" s="249"/>
      <c r="R412" s="500"/>
    </row>
    <row r="413" spans="1:18" ht="15.75" customHeight="1">
      <c r="A413" s="715" t="s">
        <v>591</v>
      </c>
      <c r="B413" s="716" t="s">
        <v>584</v>
      </c>
      <c r="C413" s="716"/>
      <c r="D413" s="717"/>
      <c r="E413" s="509" t="s">
        <v>590</v>
      </c>
      <c r="F413" s="71">
        <f>G413/P413</f>
        <v>45.75</v>
      </c>
      <c r="G413" s="63">
        <v>915</v>
      </c>
      <c r="H413" s="71">
        <f>I413/P413</f>
        <v>42</v>
      </c>
      <c r="I413" s="63">
        <v>840</v>
      </c>
      <c r="J413" s="71">
        <f>K413/P413</f>
        <v>40.75</v>
      </c>
      <c r="K413" s="63">
        <v>815</v>
      </c>
      <c r="L413" s="71">
        <f>M413/P413</f>
        <v>39</v>
      </c>
      <c r="M413" s="63">
        <v>780</v>
      </c>
      <c r="N413" s="424"/>
      <c r="O413" s="425">
        <v>730</v>
      </c>
      <c r="P413" s="426">
        <v>20</v>
      </c>
      <c r="Q413" s="427"/>
      <c r="R413" s="501"/>
    </row>
    <row r="414" spans="1:18" ht="15.75" customHeight="1">
      <c r="A414" s="703" t="s">
        <v>589</v>
      </c>
      <c r="B414" s="704" t="s">
        <v>584</v>
      </c>
      <c r="C414" s="704"/>
      <c r="D414" s="705"/>
      <c r="E414" s="508" t="s">
        <v>67</v>
      </c>
      <c r="F414" s="72">
        <f>G414/P414</f>
        <v>43.75</v>
      </c>
      <c r="G414" s="53">
        <v>875</v>
      </c>
      <c r="H414" s="72">
        <f>I414/P414</f>
        <v>40.25</v>
      </c>
      <c r="I414" s="53">
        <v>805</v>
      </c>
      <c r="J414" s="72">
        <f>K414/P414</f>
        <v>39</v>
      </c>
      <c r="K414" s="53">
        <v>780</v>
      </c>
      <c r="L414" s="72">
        <f>M414/P414</f>
        <v>37.5</v>
      </c>
      <c r="M414" s="53">
        <v>750</v>
      </c>
      <c r="N414" s="424"/>
      <c r="O414" s="425">
        <v>700</v>
      </c>
      <c r="P414" s="426">
        <v>20</v>
      </c>
      <c r="Q414" s="427"/>
      <c r="R414" s="501"/>
    </row>
    <row r="415" spans="1:18" ht="15.75" customHeight="1">
      <c r="A415" s="690" t="s">
        <v>592</v>
      </c>
      <c r="B415" s="691"/>
      <c r="C415" s="691"/>
      <c r="D415" s="692"/>
      <c r="E415" s="507" t="s">
        <v>67</v>
      </c>
      <c r="F415" s="70">
        <f aca="true" t="shared" si="121" ref="F415:F432">G415/P415</f>
        <v>47.5</v>
      </c>
      <c r="G415" s="49">
        <v>950</v>
      </c>
      <c r="H415" s="70">
        <f aca="true" t="shared" si="122" ref="H415:H432">I415/P415</f>
        <v>43.75</v>
      </c>
      <c r="I415" s="49">
        <v>875</v>
      </c>
      <c r="J415" s="70">
        <f aca="true" t="shared" si="123" ref="J415:J432">K415/P415</f>
        <v>42.5</v>
      </c>
      <c r="K415" s="49">
        <v>850</v>
      </c>
      <c r="L415" s="70">
        <f aca="true" t="shared" si="124" ref="L415:L432">M415/P415</f>
        <v>40.5</v>
      </c>
      <c r="M415" s="49">
        <v>810</v>
      </c>
      <c r="N415" s="424"/>
      <c r="O415" s="425">
        <v>760</v>
      </c>
      <c r="P415" s="426">
        <v>20</v>
      </c>
      <c r="Q415" s="427"/>
      <c r="R415" s="501"/>
    </row>
    <row r="416" spans="1:18" ht="15.75" customHeight="1">
      <c r="A416" s="690" t="s">
        <v>594</v>
      </c>
      <c r="B416" s="691"/>
      <c r="C416" s="691"/>
      <c r="D416" s="692"/>
      <c r="E416" s="507" t="s">
        <v>67</v>
      </c>
      <c r="F416" s="70">
        <f t="shared" si="121"/>
        <v>39</v>
      </c>
      <c r="G416" s="429">
        <f>CEILING(O416*1.3,10)</f>
        <v>780</v>
      </c>
      <c r="H416" s="70">
        <f t="shared" si="122"/>
        <v>37.5</v>
      </c>
      <c r="I416" s="429">
        <f>CEILING(O416*1.25,5)</f>
        <v>750</v>
      </c>
      <c r="J416" s="70">
        <f t="shared" si="123"/>
        <v>36</v>
      </c>
      <c r="K416" s="429">
        <f>CEILING(O416*1.2,5)</f>
        <v>720</v>
      </c>
      <c r="L416" s="70">
        <f t="shared" si="124"/>
        <v>34.5</v>
      </c>
      <c r="M416" s="429">
        <f>CEILING(O416*1.15,1)</f>
        <v>690</v>
      </c>
      <c r="N416" s="424"/>
      <c r="O416" s="425">
        <v>600</v>
      </c>
      <c r="P416" s="426">
        <v>20</v>
      </c>
      <c r="Q416" s="427"/>
      <c r="R416" s="501"/>
    </row>
    <row r="417" spans="1:18" ht="15.75" customHeight="1">
      <c r="A417" s="690" t="s">
        <v>615</v>
      </c>
      <c r="B417" s="691"/>
      <c r="C417" s="691"/>
      <c r="D417" s="692"/>
      <c r="E417" s="507" t="s">
        <v>67</v>
      </c>
      <c r="F417" s="70">
        <f t="shared" si="121"/>
        <v>38</v>
      </c>
      <c r="G417" s="429">
        <f>CEILING(O417*1.3,10)</f>
        <v>760</v>
      </c>
      <c r="H417" s="70">
        <f t="shared" si="122"/>
        <v>36.25</v>
      </c>
      <c r="I417" s="429">
        <f>CEILING(O417*1.25,5)</f>
        <v>725</v>
      </c>
      <c r="J417" s="70">
        <f t="shared" si="123"/>
        <v>35</v>
      </c>
      <c r="K417" s="429">
        <f>CEILING(O417*1.2,5)</f>
        <v>700</v>
      </c>
      <c r="L417" s="70">
        <f t="shared" si="124"/>
        <v>33.35</v>
      </c>
      <c r="M417" s="429">
        <f>CEILING(O417*1.15,1)</f>
        <v>667</v>
      </c>
      <c r="N417" s="424"/>
      <c r="O417" s="425">
        <v>580</v>
      </c>
      <c r="P417" s="426">
        <v>20</v>
      </c>
      <c r="Q417" s="427"/>
      <c r="R417" s="501"/>
    </row>
    <row r="418" spans="1:18" ht="15.75" customHeight="1">
      <c r="A418" s="690" t="s">
        <v>595</v>
      </c>
      <c r="B418" s="691"/>
      <c r="C418" s="691"/>
      <c r="D418" s="692"/>
      <c r="E418" s="507" t="s">
        <v>67</v>
      </c>
      <c r="F418" s="70">
        <f t="shared" si="121"/>
        <v>54.5</v>
      </c>
      <c r="G418" s="429">
        <f>CEILING(O418*1.3,10)</f>
        <v>1090</v>
      </c>
      <c r="H418" s="70">
        <f t="shared" si="122"/>
        <v>52</v>
      </c>
      <c r="I418" s="429">
        <f>CEILING(O418*1.25,5)</f>
        <v>1040</v>
      </c>
      <c r="J418" s="70">
        <f t="shared" si="123"/>
        <v>50</v>
      </c>
      <c r="K418" s="429">
        <f>CEILING(O418*1.2,5)</f>
        <v>1000</v>
      </c>
      <c r="L418" s="70">
        <f t="shared" si="124"/>
        <v>47.8</v>
      </c>
      <c r="M418" s="429">
        <f>CEILING(O418*1.15,1)</f>
        <v>956</v>
      </c>
      <c r="N418" s="424"/>
      <c r="O418" s="425">
        <v>831</v>
      </c>
      <c r="P418" s="426">
        <v>20</v>
      </c>
      <c r="Q418" s="427"/>
      <c r="R418" s="501"/>
    </row>
    <row r="419" spans="1:18" ht="15.75" customHeight="1">
      <c r="A419" s="690" t="s">
        <v>596</v>
      </c>
      <c r="B419" s="691"/>
      <c r="C419" s="691"/>
      <c r="D419" s="692"/>
      <c r="E419" s="507" t="s">
        <v>67</v>
      </c>
      <c r="F419" s="70">
        <f t="shared" si="121"/>
        <v>54.5</v>
      </c>
      <c r="G419" s="429">
        <f>CEILING(O419*1.3,10)</f>
        <v>1090</v>
      </c>
      <c r="H419" s="70">
        <f t="shared" si="122"/>
        <v>52</v>
      </c>
      <c r="I419" s="429">
        <f>CEILING(O419*1.25,5)</f>
        <v>1040</v>
      </c>
      <c r="J419" s="70">
        <f t="shared" si="123"/>
        <v>50</v>
      </c>
      <c r="K419" s="429">
        <f>CEILING(O419*1.2,5)</f>
        <v>1000</v>
      </c>
      <c r="L419" s="70">
        <f t="shared" si="124"/>
        <v>47.8</v>
      </c>
      <c r="M419" s="429">
        <f>CEILING(O419*1.15,1)</f>
        <v>956</v>
      </c>
      <c r="N419" s="424"/>
      <c r="O419" s="425">
        <v>831</v>
      </c>
      <c r="P419" s="426">
        <v>20</v>
      </c>
      <c r="Q419" s="427"/>
      <c r="R419" s="501"/>
    </row>
    <row r="420" spans="1:18" ht="15.75" customHeight="1">
      <c r="A420" s="715" t="s">
        <v>597</v>
      </c>
      <c r="B420" s="716"/>
      <c r="C420" s="716"/>
      <c r="D420" s="717"/>
      <c r="E420" s="509" t="s">
        <v>67</v>
      </c>
      <c r="F420" s="71">
        <f t="shared" si="121"/>
        <v>56.25</v>
      </c>
      <c r="G420" s="63">
        <v>1125</v>
      </c>
      <c r="H420" s="71">
        <f t="shared" si="122"/>
        <v>50</v>
      </c>
      <c r="I420" s="63">
        <v>1000</v>
      </c>
      <c r="J420" s="71">
        <f t="shared" si="123"/>
        <v>48.5</v>
      </c>
      <c r="K420" s="63">
        <v>970</v>
      </c>
      <c r="L420" s="71">
        <f t="shared" si="124"/>
        <v>46.5</v>
      </c>
      <c r="M420" s="63">
        <v>930</v>
      </c>
      <c r="N420" s="424"/>
      <c r="O420" s="425">
        <v>900</v>
      </c>
      <c r="P420" s="426">
        <v>20</v>
      </c>
      <c r="Q420" s="427"/>
      <c r="R420" s="501"/>
    </row>
    <row r="421" spans="1:18" ht="15.75" customHeight="1">
      <c r="A421" s="703" t="s">
        <v>598</v>
      </c>
      <c r="B421" s="704"/>
      <c r="C421" s="704"/>
      <c r="D421" s="705"/>
      <c r="E421" s="508" t="s">
        <v>599</v>
      </c>
      <c r="F421" s="72">
        <f t="shared" si="121"/>
        <v>75</v>
      </c>
      <c r="G421" s="53">
        <v>1500</v>
      </c>
      <c r="H421" s="72">
        <f t="shared" si="122"/>
        <v>69</v>
      </c>
      <c r="I421" s="53">
        <v>1380</v>
      </c>
      <c r="J421" s="72">
        <f t="shared" si="123"/>
        <v>66.75</v>
      </c>
      <c r="K421" s="53">
        <v>1335</v>
      </c>
      <c r="L421" s="72">
        <f t="shared" si="124"/>
        <v>64</v>
      </c>
      <c r="M421" s="53">
        <v>1280</v>
      </c>
      <c r="N421" s="424"/>
      <c r="O421" s="425">
        <v>1200</v>
      </c>
      <c r="P421" s="426">
        <v>20</v>
      </c>
      <c r="Q421" s="427"/>
      <c r="R421" s="501"/>
    </row>
    <row r="422" spans="1:18" ht="15.75" customHeight="1">
      <c r="A422" s="690" t="s">
        <v>597</v>
      </c>
      <c r="B422" s="691"/>
      <c r="C422" s="691"/>
      <c r="D422" s="692"/>
      <c r="E422" s="507" t="s">
        <v>599</v>
      </c>
      <c r="F422" s="70">
        <f t="shared" si="121"/>
        <v>75</v>
      </c>
      <c r="G422" s="49">
        <v>1500</v>
      </c>
      <c r="H422" s="70">
        <f t="shared" si="122"/>
        <v>69</v>
      </c>
      <c r="I422" s="49">
        <v>1380</v>
      </c>
      <c r="J422" s="70">
        <f t="shared" si="123"/>
        <v>66.75</v>
      </c>
      <c r="K422" s="49">
        <v>1335</v>
      </c>
      <c r="L422" s="70">
        <f t="shared" si="124"/>
        <v>64</v>
      </c>
      <c r="M422" s="49">
        <v>1280</v>
      </c>
      <c r="N422" s="424"/>
      <c r="O422" s="425">
        <v>1200</v>
      </c>
      <c r="P422" s="426">
        <v>20</v>
      </c>
      <c r="Q422" s="427"/>
      <c r="R422" s="501"/>
    </row>
    <row r="423" spans="1:18" ht="15.75" customHeight="1">
      <c r="A423" s="715" t="s">
        <v>600</v>
      </c>
      <c r="B423" s="716"/>
      <c r="C423" s="716"/>
      <c r="D423" s="717"/>
      <c r="E423" s="509" t="s">
        <v>599</v>
      </c>
      <c r="F423" s="71">
        <f t="shared" si="121"/>
        <v>75</v>
      </c>
      <c r="G423" s="63">
        <v>1500</v>
      </c>
      <c r="H423" s="71">
        <f t="shared" si="122"/>
        <v>69</v>
      </c>
      <c r="I423" s="63">
        <v>1380</v>
      </c>
      <c r="J423" s="71">
        <f t="shared" si="123"/>
        <v>66.75</v>
      </c>
      <c r="K423" s="63">
        <v>1335</v>
      </c>
      <c r="L423" s="71">
        <f t="shared" si="124"/>
        <v>64</v>
      </c>
      <c r="M423" s="63">
        <v>1280</v>
      </c>
      <c r="N423" s="424"/>
      <c r="O423" s="425">
        <v>1200</v>
      </c>
      <c r="P423" s="426">
        <v>20</v>
      </c>
      <c r="Q423" s="427"/>
      <c r="R423" s="501"/>
    </row>
    <row r="424" spans="1:18" ht="15.75" customHeight="1">
      <c r="A424" s="703" t="s">
        <v>601</v>
      </c>
      <c r="B424" s="704"/>
      <c r="C424" s="704"/>
      <c r="D424" s="705"/>
      <c r="E424" s="508" t="s">
        <v>602</v>
      </c>
      <c r="F424" s="72">
        <f t="shared" si="121"/>
        <v>92.8</v>
      </c>
      <c r="G424" s="53">
        <v>2320</v>
      </c>
      <c r="H424" s="72">
        <f t="shared" si="122"/>
        <v>85.2</v>
      </c>
      <c r="I424" s="53">
        <v>2130</v>
      </c>
      <c r="J424" s="72">
        <f t="shared" si="123"/>
        <v>82.6</v>
      </c>
      <c r="K424" s="53">
        <v>2065</v>
      </c>
      <c r="L424" s="72">
        <f t="shared" si="124"/>
        <v>79.2</v>
      </c>
      <c r="M424" s="53">
        <v>1980</v>
      </c>
      <c r="N424" s="424"/>
      <c r="O424" s="425">
        <v>1850</v>
      </c>
      <c r="P424" s="426">
        <v>25</v>
      </c>
      <c r="Q424" s="427"/>
      <c r="R424" s="501"/>
    </row>
    <row r="425" spans="1:18" ht="15.75" customHeight="1">
      <c r="A425" s="690" t="s">
        <v>603</v>
      </c>
      <c r="B425" s="691"/>
      <c r="C425" s="691"/>
      <c r="D425" s="692"/>
      <c r="E425" s="507" t="s">
        <v>604</v>
      </c>
      <c r="F425" s="70">
        <f t="shared" si="121"/>
        <v>92.8</v>
      </c>
      <c r="G425" s="49">
        <v>2320</v>
      </c>
      <c r="H425" s="70">
        <f t="shared" si="122"/>
        <v>85.2</v>
      </c>
      <c r="I425" s="49">
        <v>2130</v>
      </c>
      <c r="J425" s="70">
        <f t="shared" si="123"/>
        <v>82.6</v>
      </c>
      <c r="K425" s="49">
        <v>2065</v>
      </c>
      <c r="L425" s="70">
        <f t="shared" si="124"/>
        <v>79.2</v>
      </c>
      <c r="M425" s="49">
        <v>1980</v>
      </c>
      <c r="N425" s="424"/>
      <c r="O425" s="425">
        <v>1850</v>
      </c>
      <c r="P425" s="426">
        <v>25</v>
      </c>
      <c r="Q425" s="427"/>
      <c r="R425" s="501"/>
    </row>
    <row r="426" spans="1:18" ht="15.75" customHeight="1">
      <c r="A426" s="690" t="s">
        <v>605</v>
      </c>
      <c r="B426" s="691"/>
      <c r="C426" s="691"/>
      <c r="D426" s="692"/>
      <c r="E426" s="507" t="s">
        <v>604</v>
      </c>
      <c r="F426" s="70">
        <f t="shared" si="121"/>
        <v>92.8</v>
      </c>
      <c r="G426" s="49">
        <v>2320</v>
      </c>
      <c r="H426" s="70">
        <f t="shared" si="122"/>
        <v>85.2</v>
      </c>
      <c r="I426" s="49">
        <v>2130</v>
      </c>
      <c r="J426" s="70">
        <f t="shared" si="123"/>
        <v>82.6</v>
      </c>
      <c r="K426" s="49">
        <v>2065</v>
      </c>
      <c r="L426" s="70">
        <f t="shared" si="124"/>
        <v>79.2</v>
      </c>
      <c r="M426" s="49">
        <v>1980</v>
      </c>
      <c r="N426" s="424"/>
      <c r="O426" s="425">
        <v>1850</v>
      </c>
      <c r="P426" s="426">
        <v>25</v>
      </c>
      <c r="Q426" s="427"/>
      <c r="R426" s="501"/>
    </row>
    <row r="427" spans="1:18" ht="15.75" customHeight="1">
      <c r="A427" s="690" t="s">
        <v>606</v>
      </c>
      <c r="B427" s="691"/>
      <c r="C427" s="691"/>
      <c r="D427" s="692"/>
      <c r="E427" s="507" t="s">
        <v>604</v>
      </c>
      <c r="F427" s="70">
        <f t="shared" si="121"/>
        <v>100</v>
      </c>
      <c r="G427" s="49">
        <v>2500</v>
      </c>
      <c r="H427" s="70">
        <f t="shared" si="122"/>
        <v>89.6</v>
      </c>
      <c r="I427" s="49">
        <v>2240</v>
      </c>
      <c r="J427" s="70">
        <f t="shared" si="123"/>
        <v>86.8</v>
      </c>
      <c r="K427" s="49">
        <v>2170</v>
      </c>
      <c r="L427" s="70">
        <f t="shared" si="124"/>
        <v>83.2</v>
      </c>
      <c r="M427" s="49">
        <v>2080</v>
      </c>
      <c r="N427" s="424"/>
      <c r="O427" s="425">
        <v>1950</v>
      </c>
      <c r="P427" s="426">
        <v>25</v>
      </c>
      <c r="Q427" s="427"/>
      <c r="R427" s="501"/>
    </row>
    <row r="428" spans="1:18" ht="15.75" customHeight="1">
      <c r="A428" s="715" t="s">
        <v>607</v>
      </c>
      <c r="B428" s="716"/>
      <c r="C428" s="716"/>
      <c r="D428" s="717"/>
      <c r="E428" s="509" t="s">
        <v>604</v>
      </c>
      <c r="F428" s="71">
        <f t="shared" si="121"/>
        <v>100</v>
      </c>
      <c r="G428" s="63">
        <v>2500</v>
      </c>
      <c r="H428" s="71">
        <f t="shared" si="122"/>
        <v>89.6</v>
      </c>
      <c r="I428" s="63">
        <v>2240</v>
      </c>
      <c r="J428" s="71">
        <f t="shared" si="123"/>
        <v>86.8</v>
      </c>
      <c r="K428" s="63">
        <v>2170</v>
      </c>
      <c r="L428" s="71">
        <f t="shared" si="124"/>
        <v>83.2</v>
      </c>
      <c r="M428" s="63">
        <v>2080</v>
      </c>
      <c r="N428" s="424"/>
      <c r="O428" s="425">
        <v>1950</v>
      </c>
      <c r="P428" s="426">
        <v>25</v>
      </c>
      <c r="Q428" s="427"/>
      <c r="R428" s="501"/>
    </row>
    <row r="429" spans="1:18" ht="15.75" customHeight="1">
      <c r="A429" s="703" t="s">
        <v>608</v>
      </c>
      <c r="B429" s="704"/>
      <c r="C429" s="704"/>
      <c r="D429" s="705"/>
      <c r="E429" s="508" t="s">
        <v>609</v>
      </c>
      <c r="F429" s="72">
        <f t="shared" si="121"/>
        <v>96</v>
      </c>
      <c r="G429" s="53">
        <v>2400</v>
      </c>
      <c r="H429" s="72">
        <f t="shared" si="122"/>
        <v>87.4</v>
      </c>
      <c r="I429" s="53">
        <v>2185</v>
      </c>
      <c r="J429" s="72">
        <f t="shared" si="123"/>
        <v>84.6</v>
      </c>
      <c r="K429" s="53">
        <v>2115</v>
      </c>
      <c r="L429" s="72">
        <f t="shared" si="124"/>
        <v>81.2</v>
      </c>
      <c r="M429" s="53">
        <v>2030</v>
      </c>
      <c r="N429" s="424"/>
      <c r="O429" s="425">
        <v>1900</v>
      </c>
      <c r="P429" s="426">
        <v>25</v>
      </c>
      <c r="Q429" s="427"/>
      <c r="R429" s="501"/>
    </row>
    <row r="430" spans="1:18" ht="15" customHeight="1">
      <c r="A430" s="690" t="s">
        <v>610</v>
      </c>
      <c r="B430" s="691"/>
      <c r="C430" s="691"/>
      <c r="D430" s="692"/>
      <c r="E430" s="507" t="s">
        <v>609</v>
      </c>
      <c r="F430" s="70">
        <f t="shared" si="121"/>
        <v>117.4</v>
      </c>
      <c r="G430" s="49">
        <v>2935</v>
      </c>
      <c r="H430" s="70">
        <f t="shared" si="122"/>
        <v>108</v>
      </c>
      <c r="I430" s="49">
        <v>2700</v>
      </c>
      <c r="J430" s="70">
        <f t="shared" si="123"/>
        <v>104.6</v>
      </c>
      <c r="K430" s="49">
        <v>2615</v>
      </c>
      <c r="L430" s="70">
        <f t="shared" si="124"/>
        <v>100.4</v>
      </c>
      <c r="M430" s="49">
        <v>2510</v>
      </c>
      <c r="N430" s="424"/>
      <c r="O430" s="425">
        <v>2350</v>
      </c>
      <c r="P430" s="426">
        <v>25</v>
      </c>
      <c r="Q430" s="427"/>
      <c r="R430" s="501"/>
    </row>
    <row r="431" spans="1:18" ht="15.75" customHeight="1">
      <c r="A431" s="715" t="s">
        <v>611</v>
      </c>
      <c r="B431" s="716"/>
      <c r="C431" s="716"/>
      <c r="D431" s="717"/>
      <c r="E431" s="509" t="s">
        <v>609</v>
      </c>
      <c r="F431" s="71">
        <f t="shared" si="121"/>
        <v>117.4</v>
      </c>
      <c r="G431" s="63">
        <v>2935</v>
      </c>
      <c r="H431" s="71">
        <f t="shared" si="122"/>
        <v>108</v>
      </c>
      <c r="I431" s="63">
        <v>2700</v>
      </c>
      <c r="J431" s="71">
        <f t="shared" si="123"/>
        <v>104.6</v>
      </c>
      <c r="K431" s="63">
        <v>2615</v>
      </c>
      <c r="L431" s="71">
        <f t="shared" si="124"/>
        <v>100.4</v>
      </c>
      <c r="M431" s="63">
        <v>2510</v>
      </c>
      <c r="N431" s="424"/>
      <c r="O431" s="425">
        <v>2350</v>
      </c>
      <c r="P431" s="426">
        <v>25</v>
      </c>
      <c r="Q431" s="427"/>
      <c r="R431" s="501"/>
    </row>
    <row r="432" spans="1:18" ht="15" customHeight="1" thickBot="1">
      <c r="A432" s="771" t="s">
        <v>612</v>
      </c>
      <c r="B432" s="772"/>
      <c r="C432" s="772"/>
      <c r="D432" s="773"/>
      <c r="E432" s="510" t="s">
        <v>211</v>
      </c>
      <c r="F432" s="172">
        <f t="shared" si="121"/>
        <v>138</v>
      </c>
      <c r="G432" s="173">
        <v>3450</v>
      </c>
      <c r="H432" s="172">
        <f t="shared" si="122"/>
        <v>127</v>
      </c>
      <c r="I432" s="173">
        <v>3175</v>
      </c>
      <c r="J432" s="172">
        <f t="shared" si="123"/>
        <v>123.2</v>
      </c>
      <c r="K432" s="173">
        <v>3080</v>
      </c>
      <c r="L432" s="172">
        <f t="shared" si="124"/>
        <v>118</v>
      </c>
      <c r="M432" s="173">
        <v>2950</v>
      </c>
      <c r="N432" s="424"/>
      <c r="O432" s="425">
        <v>2760</v>
      </c>
      <c r="P432" s="426">
        <v>25</v>
      </c>
      <c r="Q432" s="427"/>
      <c r="R432" s="501"/>
    </row>
    <row r="433" spans="1:18" ht="39.75" customHeight="1" hidden="1" thickTop="1">
      <c r="A433" s="659" t="s">
        <v>662</v>
      </c>
      <c r="B433" s="659"/>
      <c r="C433" s="659"/>
      <c r="D433" s="659"/>
      <c r="E433" s="659"/>
      <c r="F433" s="659"/>
      <c r="G433" s="659"/>
      <c r="H433" s="659"/>
      <c r="I433" s="659"/>
      <c r="J433" s="659"/>
      <c r="K433" s="659"/>
      <c r="L433" s="659"/>
      <c r="M433" s="659"/>
      <c r="Q433" s="225"/>
      <c r="R433" s="225"/>
    </row>
    <row r="434" spans="1:18" ht="15.75" customHeight="1" hidden="1">
      <c r="A434" s="660" t="s">
        <v>96</v>
      </c>
      <c r="B434" s="661"/>
      <c r="C434" s="661"/>
      <c r="D434" s="661"/>
      <c r="E434" s="662"/>
      <c r="F434" s="666" t="s">
        <v>48</v>
      </c>
      <c r="G434" s="667"/>
      <c r="H434" s="666" t="s">
        <v>45</v>
      </c>
      <c r="I434" s="667"/>
      <c r="J434" s="666" t="s">
        <v>46</v>
      </c>
      <c r="K434" s="667"/>
      <c r="L434" s="666" t="s">
        <v>47</v>
      </c>
      <c r="M434" s="667"/>
      <c r="Q434" s="676"/>
      <c r="R434" s="677"/>
    </row>
    <row r="435" spans="1:18" ht="15.75" customHeight="1" hidden="1" thickBot="1">
      <c r="A435" s="663"/>
      <c r="B435" s="664"/>
      <c r="C435" s="664"/>
      <c r="D435" s="664"/>
      <c r="E435" s="665"/>
      <c r="F435" s="678" t="s">
        <v>90</v>
      </c>
      <c r="G435" s="679"/>
      <c r="H435" s="678" t="s">
        <v>90</v>
      </c>
      <c r="I435" s="679"/>
      <c r="J435" s="678" t="s">
        <v>90</v>
      </c>
      <c r="K435" s="679"/>
      <c r="L435" s="678" t="s">
        <v>90</v>
      </c>
      <c r="M435" s="679"/>
      <c r="N435" s="277" t="s">
        <v>549</v>
      </c>
      <c r="O435" s="337" t="s">
        <v>88</v>
      </c>
      <c r="Q435" s="229"/>
      <c r="R435" s="461"/>
    </row>
    <row r="436" spans="1:18" ht="15.75" customHeight="1" hidden="1">
      <c r="A436" s="750" t="s">
        <v>244</v>
      </c>
      <c r="B436" s="751"/>
      <c r="C436" s="751"/>
      <c r="D436" s="751"/>
      <c r="E436" s="752"/>
      <c r="F436" s="46">
        <f>N436*1.3</f>
        <v>23.400000000000002</v>
      </c>
      <c r="G436" s="47">
        <f>CEILING(F436*O436,10)</f>
        <v>880</v>
      </c>
      <c r="H436" s="46">
        <f>N436*1.25</f>
        <v>22.5</v>
      </c>
      <c r="I436" s="47">
        <f>CEILING(H436*O436,10)</f>
        <v>850</v>
      </c>
      <c r="J436" s="46">
        <f>N436*1.2</f>
        <v>21.599999999999998</v>
      </c>
      <c r="K436" s="47">
        <f>CEILING(J436*O436,10)</f>
        <v>810</v>
      </c>
      <c r="L436" s="46">
        <f>N436*1.15</f>
        <v>20.7</v>
      </c>
      <c r="M436" s="47">
        <f>CEILING(L436*O436,10)</f>
        <v>780</v>
      </c>
      <c r="N436" s="278">
        <v>18</v>
      </c>
      <c r="O436" s="332">
        <v>37.5</v>
      </c>
      <c r="Q436" s="247"/>
      <c r="R436" s="489"/>
    </row>
    <row r="437" spans="1:18" ht="15.75" customHeight="1" hidden="1" thickTop="1">
      <c r="A437" s="706" t="s">
        <v>565</v>
      </c>
      <c r="B437" s="707"/>
      <c r="C437" s="707"/>
      <c r="D437" s="707"/>
      <c r="E437" s="708"/>
      <c r="F437" s="725">
        <f>CEILING(N437*1.5,10)</f>
        <v>60</v>
      </c>
      <c r="G437" s="726"/>
      <c r="H437" s="725">
        <f>CEILING(N437*1.4,5)</f>
        <v>55</v>
      </c>
      <c r="I437" s="726">
        <f>CEILING(H437*O437,10)</f>
        <v>0</v>
      </c>
      <c r="J437" s="725">
        <f>CEILING(N437*1.3,5)</f>
        <v>55</v>
      </c>
      <c r="K437" s="726"/>
      <c r="L437" s="725">
        <f>CEILING(N437*1.2,5)</f>
        <v>50</v>
      </c>
      <c r="M437" s="726">
        <f>CEILING(L437*O437,10)</f>
        <v>0</v>
      </c>
      <c r="N437" s="278">
        <v>39</v>
      </c>
      <c r="Q437" s="246"/>
      <c r="R437" s="488"/>
    </row>
    <row r="438" spans="1:18" ht="15.75" customHeight="1" hidden="1" thickBot="1">
      <c r="A438" s="753" t="s">
        <v>566</v>
      </c>
      <c r="B438" s="754"/>
      <c r="C438" s="754"/>
      <c r="D438" s="754"/>
      <c r="E438" s="755">
        <v>100</v>
      </c>
      <c r="F438" s="727">
        <f>CEILING(N438*1.5,10)</f>
        <v>180</v>
      </c>
      <c r="G438" s="728"/>
      <c r="H438" s="727">
        <f>CEILING(N438*1.4,5)</f>
        <v>170</v>
      </c>
      <c r="I438" s="728">
        <f>CEILING(H438*O438,10)</f>
        <v>0</v>
      </c>
      <c r="J438" s="727">
        <f>CEILING(N438*1.3,5)</f>
        <v>160</v>
      </c>
      <c r="K438" s="728"/>
      <c r="L438" s="727">
        <f>CEILING(N438*1.2,5)</f>
        <v>145</v>
      </c>
      <c r="M438" s="728">
        <f>CEILING(L438*O438,10)</f>
        <v>0</v>
      </c>
      <c r="N438" s="278">
        <v>120</v>
      </c>
      <c r="Q438" s="233"/>
      <c r="R438" s="490"/>
    </row>
    <row r="439" spans="1:18" ht="37.5" customHeight="1" thickTop="1">
      <c r="A439" s="659" t="s">
        <v>581</v>
      </c>
      <c r="B439" s="659"/>
      <c r="C439" s="659"/>
      <c r="D439" s="659"/>
      <c r="E439" s="659"/>
      <c r="F439" s="659"/>
      <c r="G439" s="659"/>
      <c r="H439" s="659"/>
      <c r="I439" s="659"/>
      <c r="J439" s="659"/>
      <c r="K439" s="659"/>
      <c r="L439" s="659"/>
      <c r="M439" s="659"/>
      <c r="Q439" s="225"/>
      <c r="R439" s="225"/>
    </row>
    <row r="440" spans="1:18" s="502" customFormat="1" ht="15.75" customHeight="1">
      <c r="A440" s="670" t="s">
        <v>96</v>
      </c>
      <c r="B440" s="671"/>
      <c r="C440" s="671"/>
      <c r="D440" s="671"/>
      <c r="E440" s="672"/>
      <c r="F440" s="701" t="s">
        <v>48</v>
      </c>
      <c r="G440" s="702"/>
      <c r="H440" s="673" t="s">
        <v>45</v>
      </c>
      <c r="I440" s="674"/>
      <c r="J440" s="673" t="s">
        <v>46</v>
      </c>
      <c r="K440" s="674"/>
      <c r="L440" s="673" t="s">
        <v>47</v>
      </c>
      <c r="M440" s="674"/>
      <c r="N440" s="275"/>
      <c r="O440" s="333"/>
      <c r="P440" s="275"/>
      <c r="Q440" s="758"/>
      <c r="R440" s="759"/>
    </row>
    <row r="441" spans="1:18" ht="15.75" customHeight="1" thickBot="1">
      <c r="A441" s="663"/>
      <c r="B441" s="664"/>
      <c r="C441" s="664"/>
      <c r="D441" s="664"/>
      <c r="E441" s="665"/>
      <c r="F441" s="678" t="s">
        <v>90</v>
      </c>
      <c r="G441" s="679"/>
      <c r="H441" s="678" t="s">
        <v>90</v>
      </c>
      <c r="I441" s="679"/>
      <c r="J441" s="678" t="s">
        <v>90</v>
      </c>
      <c r="K441" s="679"/>
      <c r="L441" s="678" t="s">
        <v>90</v>
      </c>
      <c r="M441" s="679"/>
      <c r="N441" s="284" t="s">
        <v>16</v>
      </c>
      <c r="O441" s="338"/>
      <c r="Q441" s="745"/>
      <c r="R441" s="746"/>
    </row>
    <row r="442" spans="1:18" ht="15" customHeight="1" thickTop="1">
      <c r="A442" s="768" t="s">
        <v>350</v>
      </c>
      <c r="B442" s="769"/>
      <c r="C442" s="769"/>
      <c r="D442" s="769"/>
      <c r="E442" s="770" t="s">
        <v>240</v>
      </c>
      <c r="F442" s="796">
        <f>N442+10</f>
        <v>60</v>
      </c>
      <c r="G442" s="796">
        <f>F442*O442</f>
        <v>0</v>
      </c>
      <c r="H442" s="796">
        <f>N442+8</f>
        <v>58</v>
      </c>
      <c r="I442" s="796">
        <f>H442*O442</f>
        <v>0</v>
      </c>
      <c r="J442" s="796">
        <f>N442+6</f>
        <v>56</v>
      </c>
      <c r="K442" s="796">
        <f>J442*O442</f>
        <v>0</v>
      </c>
      <c r="L442" s="796">
        <f>N442+4</f>
        <v>54</v>
      </c>
      <c r="M442" s="796">
        <f>L442*O442</f>
        <v>0</v>
      </c>
      <c r="N442" s="273">
        <v>50</v>
      </c>
      <c r="O442" s="339"/>
      <c r="Q442" s="747"/>
      <c r="R442" s="747"/>
    </row>
    <row r="443" spans="1:18" ht="15" customHeight="1">
      <c r="A443" s="709" t="s">
        <v>351</v>
      </c>
      <c r="B443" s="710"/>
      <c r="C443" s="710"/>
      <c r="D443" s="710"/>
      <c r="E443" s="711" t="s">
        <v>241</v>
      </c>
      <c r="F443" s="764">
        <f>N443+10</f>
        <v>60</v>
      </c>
      <c r="G443" s="764">
        <f>F443*O443</f>
        <v>0</v>
      </c>
      <c r="H443" s="764">
        <f>N443+8</f>
        <v>58</v>
      </c>
      <c r="I443" s="764">
        <f>H443*O443</f>
        <v>0</v>
      </c>
      <c r="J443" s="764">
        <f>N443+6</f>
        <v>56</v>
      </c>
      <c r="K443" s="764">
        <f>J443*O443</f>
        <v>0</v>
      </c>
      <c r="L443" s="764">
        <f>N443+4</f>
        <v>54</v>
      </c>
      <c r="M443" s="764">
        <f>L443*O443</f>
        <v>0</v>
      </c>
      <c r="N443" s="273">
        <v>50</v>
      </c>
      <c r="O443" s="339"/>
      <c r="Q443" s="739"/>
      <c r="R443" s="739"/>
    </row>
    <row r="444" spans="1:18" ht="15" customHeight="1">
      <c r="A444" s="709" t="s">
        <v>358</v>
      </c>
      <c r="B444" s="710"/>
      <c r="C444" s="710"/>
      <c r="D444" s="710"/>
      <c r="E444" s="711"/>
      <c r="F444" s="764">
        <f>N444+15</f>
        <v>100</v>
      </c>
      <c r="G444" s="764"/>
      <c r="H444" s="764">
        <f>F444-3</f>
        <v>97</v>
      </c>
      <c r="I444" s="764"/>
      <c r="J444" s="764">
        <f>H444-3</f>
        <v>94</v>
      </c>
      <c r="K444" s="764"/>
      <c r="L444" s="764">
        <f>J444-3</f>
        <v>91</v>
      </c>
      <c r="M444" s="764"/>
      <c r="N444" s="273">
        <v>85</v>
      </c>
      <c r="O444" s="339"/>
      <c r="Q444" s="739"/>
      <c r="R444" s="739"/>
    </row>
    <row r="445" spans="1:18" ht="15" customHeight="1">
      <c r="A445" s="893" t="s">
        <v>356</v>
      </c>
      <c r="B445" s="894"/>
      <c r="C445" s="894"/>
      <c r="D445" s="894"/>
      <c r="E445" s="895"/>
      <c r="F445" s="767">
        <f>N445+15</f>
        <v>90</v>
      </c>
      <c r="G445" s="767"/>
      <c r="H445" s="767">
        <f>F445-3</f>
        <v>87</v>
      </c>
      <c r="I445" s="767"/>
      <c r="J445" s="767">
        <f>H445-3</f>
        <v>84</v>
      </c>
      <c r="K445" s="767"/>
      <c r="L445" s="767">
        <f>J445-3</f>
        <v>81</v>
      </c>
      <c r="M445" s="767"/>
      <c r="N445" s="273">
        <v>75</v>
      </c>
      <c r="O445" s="339"/>
      <c r="Q445" s="744"/>
      <c r="R445" s="744"/>
    </row>
    <row r="446" spans="1:18" ht="15" customHeight="1">
      <c r="A446" s="709" t="s">
        <v>355</v>
      </c>
      <c r="B446" s="710"/>
      <c r="C446" s="710"/>
      <c r="D446" s="710"/>
      <c r="E446" s="711" t="s">
        <v>243</v>
      </c>
      <c r="F446" s="763">
        <f>N446+10</f>
        <v>40</v>
      </c>
      <c r="G446" s="763">
        <f>F446*O446</f>
        <v>0</v>
      </c>
      <c r="H446" s="763">
        <f>N446+8</f>
        <v>38</v>
      </c>
      <c r="I446" s="763">
        <f>H446*O446</f>
        <v>0</v>
      </c>
      <c r="J446" s="763">
        <f>N446+6</f>
        <v>36</v>
      </c>
      <c r="K446" s="763">
        <f>J446*O446</f>
        <v>0</v>
      </c>
      <c r="L446" s="763">
        <f>N446+4</f>
        <v>34</v>
      </c>
      <c r="M446" s="763">
        <f>L446*O446</f>
        <v>0</v>
      </c>
      <c r="N446" s="273">
        <v>30</v>
      </c>
      <c r="O446" s="339"/>
      <c r="Q446" s="934"/>
      <c r="R446" s="934"/>
    </row>
    <row r="447" spans="1:18" ht="15" customHeight="1">
      <c r="A447" s="709" t="s">
        <v>353</v>
      </c>
      <c r="B447" s="710"/>
      <c r="C447" s="710"/>
      <c r="D447" s="710"/>
      <c r="E447" s="711" t="s">
        <v>243</v>
      </c>
      <c r="F447" s="763">
        <f>N447+10</f>
        <v>40</v>
      </c>
      <c r="G447" s="763">
        <f>F447*O447</f>
        <v>0</v>
      </c>
      <c r="H447" s="763">
        <f>N447+8</f>
        <v>38</v>
      </c>
      <c r="I447" s="763">
        <f>H447*O447</f>
        <v>0</v>
      </c>
      <c r="J447" s="763">
        <f>N447+6</f>
        <v>36</v>
      </c>
      <c r="K447" s="763">
        <f>J447*O447</f>
        <v>0</v>
      </c>
      <c r="L447" s="763">
        <f>N447+4</f>
        <v>34</v>
      </c>
      <c r="M447" s="763">
        <f>L447*O447</f>
        <v>0</v>
      </c>
      <c r="N447" s="273">
        <v>30</v>
      </c>
      <c r="O447" s="339"/>
      <c r="Q447" s="739"/>
      <c r="R447" s="739"/>
    </row>
    <row r="448" spans="1:18" ht="15" customHeight="1">
      <c r="A448" s="709" t="s">
        <v>352</v>
      </c>
      <c r="B448" s="710"/>
      <c r="C448" s="710"/>
      <c r="D448" s="710"/>
      <c r="E448" s="711"/>
      <c r="F448" s="763">
        <f>N448+10</f>
        <v>40</v>
      </c>
      <c r="G448" s="763">
        <f>F448*O448</f>
        <v>0</v>
      </c>
      <c r="H448" s="763">
        <f>N448+8</f>
        <v>38</v>
      </c>
      <c r="I448" s="763">
        <f>H448*O448</f>
        <v>0</v>
      </c>
      <c r="J448" s="763">
        <f>N448+6</f>
        <v>36</v>
      </c>
      <c r="K448" s="763">
        <f>J448*O448</f>
        <v>0</v>
      </c>
      <c r="L448" s="763">
        <f>N448+4</f>
        <v>34</v>
      </c>
      <c r="M448" s="763">
        <f>L448*O448</f>
        <v>0</v>
      </c>
      <c r="N448" s="273">
        <v>30</v>
      </c>
      <c r="O448" s="339"/>
      <c r="Q448" s="739"/>
      <c r="R448" s="739"/>
    </row>
    <row r="449" spans="1:18" ht="15" customHeight="1" thickBot="1">
      <c r="A449" s="811" t="s">
        <v>354</v>
      </c>
      <c r="B449" s="812"/>
      <c r="C449" s="812"/>
      <c r="D449" s="812"/>
      <c r="E449" s="813" t="s">
        <v>242</v>
      </c>
      <c r="F449" s="694">
        <f>N449+10</f>
        <v>45</v>
      </c>
      <c r="G449" s="694">
        <f>F449*O449</f>
        <v>0</v>
      </c>
      <c r="H449" s="694">
        <f>N449+8</f>
        <v>43</v>
      </c>
      <c r="I449" s="694">
        <f>H449*O449</f>
        <v>0</v>
      </c>
      <c r="J449" s="694">
        <f>N449+6</f>
        <v>41</v>
      </c>
      <c r="K449" s="694">
        <f>J449*O449</f>
        <v>0</v>
      </c>
      <c r="L449" s="694">
        <f>N449+4</f>
        <v>39</v>
      </c>
      <c r="M449" s="694">
        <f>L449*O449</f>
        <v>0</v>
      </c>
      <c r="N449" s="273">
        <v>35</v>
      </c>
      <c r="O449" s="339"/>
      <c r="Q449" s="740"/>
      <c r="R449" s="740"/>
    </row>
    <row r="450" spans="1:18" ht="37.5" customHeight="1" hidden="1" thickTop="1">
      <c r="A450" s="659" t="s">
        <v>256</v>
      </c>
      <c r="B450" s="659"/>
      <c r="C450" s="659"/>
      <c r="D450" s="659"/>
      <c r="E450" s="659"/>
      <c r="F450" s="659"/>
      <c r="G450" s="659"/>
      <c r="H450" s="659"/>
      <c r="I450" s="659"/>
      <c r="J450" s="659"/>
      <c r="K450" s="659"/>
      <c r="L450" s="659"/>
      <c r="M450" s="659"/>
      <c r="Q450" s="225"/>
      <c r="R450" s="225"/>
    </row>
    <row r="451" spans="1:18" s="502" customFormat="1" ht="15.75" customHeight="1" hidden="1">
      <c r="A451" s="670" t="s">
        <v>96</v>
      </c>
      <c r="B451" s="671"/>
      <c r="C451" s="671"/>
      <c r="D451" s="671"/>
      <c r="E451" s="672"/>
      <c r="F451" s="701" t="s">
        <v>48</v>
      </c>
      <c r="G451" s="702"/>
      <c r="H451" s="673" t="s">
        <v>45</v>
      </c>
      <c r="I451" s="674"/>
      <c r="J451" s="673" t="s">
        <v>46</v>
      </c>
      <c r="K451" s="674"/>
      <c r="L451" s="673" t="s">
        <v>47</v>
      </c>
      <c r="M451" s="674"/>
      <c r="N451" s="275"/>
      <c r="O451" s="333"/>
      <c r="P451" s="275"/>
      <c r="Q451" s="758"/>
      <c r="R451" s="759"/>
    </row>
    <row r="452" spans="1:18" ht="15.75" customHeight="1" hidden="1" thickBot="1">
      <c r="A452" s="663"/>
      <c r="B452" s="664"/>
      <c r="C452" s="664"/>
      <c r="D452" s="664"/>
      <c r="E452" s="665"/>
      <c r="F452" s="678" t="s">
        <v>90</v>
      </c>
      <c r="G452" s="679"/>
      <c r="H452" s="678" t="s">
        <v>90</v>
      </c>
      <c r="I452" s="679"/>
      <c r="J452" s="678" t="s">
        <v>90</v>
      </c>
      <c r="K452" s="679"/>
      <c r="L452" s="678" t="s">
        <v>90</v>
      </c>
      <c r="M452" s="679"/>
      <c r="N452" s="44" t="s">
        <v>16</v>
      </c>
      <c r="O452" s="338"/>
      <c r="Q452" s="745"/>
      <c r="R452" s="746"/>
    </row>
    <row r="453" spans="1:18" ht="15" customHeight="1" hidden="1" thickTop="1">
      <c r="A453" s="795" t="s">
        <v>257</v>
      </c>
      <c r="B453" s="795"/>
      <c r="C453" s="795"/>
      <c r="D453" s="795"/>
      <c r="E453" s="795"/>
      <c r="F453" s="796">
        <f aca="true" t="shared" si="125" ref="F453:F458">CEILING(N453*1.4,1)</f>
        <v>79</v>
      </c>
      <c r="G453" s="796"/>
      <c r="H453" s="796">
        <f aca="true" t="shared" si="126" ref="H453:H458">CEILING(N453*1.35,1)</f>
        <v>76</v>
      </c>
      <c r="I453" s="796"/>
      <c r="J453" s="796">
        <f aca="true" t="shared" si="127" ref="J453:J458">CEILING(N453*1.3,1)</f>
        <v>73</v>
      </c>
      <c r="K453" s="796"/>
      <c r="L453" s="796">
        <f aca="true" t="shared" si="128" ref="L453:L458">CEILING(N453*1.25,1)</f>
        <v>70</v>
      </c>
      <c r="M453" s="796"/>
      <c r="N453" s="279">
        <v>56</v>
      </c>
      <c r="O453" s="339"/>
      <c r="Q453" s="747"/>
      <c r="R453" s="747"/>
    </row>
    <row r="454" spans="1:18" ht="15" customHeight="1" hidden="1">
      <c r="A454" s="787" t="s">
        <v>258</v>
      </c>
      <c r="B454" s="787"/>
      <c r="C454" s="787"/>
      <c r="D454" s="787"/>
      <c r="E454" s="787"/>
      <c r="F454" s="764">
        <f t="shared" si="125"/>
        <v>63</v>
      </c>
      <c r="G454" s="764"/>
      <c r="H454" s="764">
        <f t="shared" si="126"/>
        <v>61</v>
      </c>
      <c r="I454" s="764"/>
      <c r="J454" s="764">
        <f t="shared" si="127"/>
        <v>59</v>
      </c>
      <c r="K454" s="764"/>
      <c r="L454" s="764">
        <f t="shared" si="128"/>
        <v>57</v>
      </c>
      <c r="M454" s="764"/>
      <c r="N454" s="279">
        <v>45</v>
      </c>
      <c r="O454" s="339"/>
      <c r="Q454" s="739"/>
      <c r="R454" s="739"/>
    </row>
    <row r="455" spans="1:18" ht="15" customHeight="1" hidden="1">
      <c r="A455" s="787" t="s">
        <v>259</v>
      </c>
      <c r="B455" s="787"/>
      <c r="C455" s="787"/>
      <c r="D455" s="787"/>
      <c r="E455" s="787"/>
      <c r="F455" s="764">
        <f t="shared" si="125"/>
        <v>66</v>
      </c>
      <c r="G455" s="764"/>
      <c r="H455" s="764">
        <f t="shared" si="126"/>
        <v>64</v>
      </c>
      <c r="I455" s="764"/>
      <c r="J455" s="764">
        <f t="shared" si="127"/>
        <v>62</v>
      </c>
      <c r="K455" s="764"/>
      <c r="L455" s="764">
        <f t="shared" si="128"/>
        <v>59</v>
      </c>
      <c r="M455" s="764"/>
      <c r="N455" s="279">
        <v>47</v>
      </c>
      <c r="O455" s="339"/>
      <c r="Q455" s="739"/>
      <c r="R455" s="739"/>
    </row>
    <row r="456" spans="1:18" ht="15" customHeight="1" hidden="1">
      <c r="A456" s="787" t="s">
        <v>260</v>
      </c>
      <c r="B456" s="787"/>
      <c r="C456" s="787"/>
      <c r="D456" s="787"/>
      <c r="E456" s="787"/>
      <c r="F456" s="764">
        <f t="shared" si="125"/>
        <v>97</v>
      </c>
      <c r="G456" s="764"/>
      <c r="H456" s="764">
        <f t="shared" si="126"/>
        <v>94</v>
      </c>
      <c r="I456" s="764"/>
      <c r="J456" s="764">
        <f t="shared" si="127"/>
        <v>90</v>
      </c>
      <c r="K456" s="764"/>
      <c r="L456" s="764">
        <f t="shared" si="128"/>
        <v>87</v>
      </c>
      <c r="M456" s="764"/>
      <c r="N456" s="279">
        <v>69</v>
      </c>
      <c r="O456" s="339"/>
      <c r="Q456" s="739"/>
      <c r="R456" s="739"/>
    </row>
    <row r="457" spans="1:18" ht="15" customHeight="1" hidden="1">
      <c r="A457" s="787" t="s">
        <v>261</v>
      </c>
      <c r="B457" s="787"/>
      <c r="C457" s="787"/>
      <c r="D457" s="787"/>
      <c r="E457" s="787"/>
      <c r="F457" s="764">
        <f t="shared" si="125"/>
        <v>69</v>
      </c>
      <c r="G457" s="764"/>
      <c r="H457" s="764">
        <f t="shared" si="126"/>
        <v>67</v>
      </c>
      <c r="I457" s="764"/>
      <c r="J457" s="764">
        <f t="shared" si="127"/>
        <v>64</v>
      </c>
      <c r="K457" s="764"/>
      <c r="L457" s="764">
        <f t="shared" si="128"/>
        <v>62</v>
      </c>
      <c r="M457" s="764"/>
      <c r="N457" s="279">
        <v>49</v>
      </c>
      <c r="O457" s="339"/>
      <c r="Q457" s="739"/>
      <c r="R457" s="739"/>
    </row>
    <row r="458" spans="1:18" ht="15" customHeight="1" hidden="1" thickBot="1">
      <c r="A458" s="685" t="s">
        <v>262</v>
      </c>
      <c r="B458" s="685"/>
      <c r="C458" s="685"/>
      <c r="D458" s="685"/>
      <c r="E458" s="685"/>
      <c r="F458" s="694">
        <f t="shared" si="125"/>
        <v>98</v>
      </c>
      <c r="G458" s="694"/>
      <c r="H458" s="694">
        <f t="shared" si="126"/>
        <v>95</v>
      </c>
      <c r="I458" s="694"/>
      <c r="J458" s="694">
        <f t="shared" si="127"/>
        <v>91</v>
      </c>
      <c r="K458" s="694"/>
      <c r="L458" s="694">
        <f t="shared" si="128"/>
        <v>88</v>
      </c>
      <c r="M458" s="694"/>
      <c r="N458" s="279">
        <v>70</v>
      </c>
      <c r="O458" s="339"/>
      <c r="Q458" s="739"/>
      <c r="R458" s="739"/>
    </row>
    <row r="459" spans="1:18" ht="39.75" customHeight="1" hidden="1" thickTop="1">
      <c r="A459" s="659" t="s">
        <v>89</v>
      </c>
      <c r="B459" s="659"/>
      <c r="C459" s="659"/>
      <c r="D459" s="659"/>
      <c r="E459" s="659"/>
      <c r="F459" s="659"/>
      <c r="G459" s="659"/>
      <c r="H459" s="659"/>
      <c r="I459" s="659"/>
      <c r="J459" s="659"/>
      <c r="K459" s="659"/>
      <c r="L459" s="659"/>
      <c r="M459" s="659"/>
      <c r="Q459" s="225"/>
      <c r="R459" s="225"/>
    </row>
    <row r="460" spans="1:18" s="502" customFormat="1" ht="15.75" customHeight="1" hidden="1">
      <c r="A460" s="660" t="s">
        <v>96</v>
      </c>
      <c r="B460" s="661"/>
      <c r="C460" s="661"/>
      <c r="D460" s="661"/>
      <c r="E460" s="662"/>
      <c r="F460" s="673" t="s">
        <v>48</v>
      </c>
      <c r="G460" s="674"/>
      <c r="H460" s="673" t="s">
        <v>45</v>
      </c>
      <c r="I460" s="674"/>
      <c r="J460" s="673" t="s">
        <v>46</v>
      </c>
      <c r="K460" s="674"/>
      <c r="L460" s="673" t="s">
        <v>47</v>
      </c>
      <c r="M460" s="674"/>
      <c r="N460" s="275"/>
      <c r="O460" s="333"/>
      <c r="P460" s="275"/>
      <c r="Q460" s="676"/>
      <c r="R460" s="677"/>
    </row>
    <row r="461" spans="1:18" ht="15.75" customHeight="1" hidden="1" thickBot="1">
      <c r="A461" s="663"/>
      <c r="B461" s="664"/>
      <c r="C461" s="664"/>
      <c r="D461" s="664"/>
      <c r="E461" s="665"/>
      <c r="F461" s="678" t="s">
        <v>90</v>
      </c>
      <c r="G461" s="679"/>
      <c r="H461" s="678" t="s">
        <v>90</v>
      </c>
      <c r="I461" s="679"/>
      <c r="J461" s="678" t="s">
        <v>90</v>
      </c>
      <c r="K461" s="679"/>
      <c r="L461" s="678" t="s">
        <v>90</v>
      </c>
      <c r="M461" s="679"/>
      <c r="N461" s="44" t="s">
        <v>35</v>
      </c>
      <c r="O461" s="338"/>
      <c r="Q461" s="745"/>
      <c r="R461" s="746"/>
    </row>
    <row r="462" spans="1:18" ht="15" customHeight="1" hidden="1" thickTop="1">
      <c r="A462" s="808" t="s">
        <v>225</v>
      </c>
      <c r="B462" s="809"/>
      <c r="C462" s="809"/>
      <c r="D462" s="809"/>
      <c r="E462" s="810"/>
      <c r="F462" s="796">
        <v>35</v>
      </c>
      <c r="G462" s="796"/>
      <c r="H462" s="796">
        <f>F462-1</f>
        <v>34</v>
      </c>
      <c r="I462" s="796"/>
      <c r="J462" s="796">
        <f>F462-2</f>
        <v>33</v>
      </c>
      <c r="K462" s="796"/>
      <c r="L462" s="796">
        <f>F462-3</f>
        <v>32</v>
      </c>
      <c r="M462" s="796"/>
      <c r="N462" s="279">
        <v>35</v>
      </c>
      <c r="O462" s="339"/>
      <c r="Q462" s="747"/>
      <c r="R462" s="747"/>
    </row>
    <row r="463" spans="1:18" ht="15" customHeight="1" hidden="1">
      <c r="A463" s="709" t="s">
        <v>226</v>
      </c>
      <c r="B463" s="710"/>
      <c r="C463" s="710"/>
      <c r="D463" s="710"/>
      <c r="E463" s="711"/>
      <c r="F463" s="764">
        <v>45</v>
      </c>
      <c r="G463" s="764"/>
      <c r="H463" s="764">
        <f>F463-1</f>
        <v>44</v>
      </c>
      <c r="I463" s="764"/>
      <c r="J463" s="764">
        <f>F463-2</f>
        <v>43</v>
      </c>
      <c r="K463" s="764"/>
      <c r="L463" s="764">
        <f>F463-3</f>
        <v>42</v>
      </c>
      <c r="M463" s="764"/>
      <c r="N463" s="279">
        <v>40</v>
      </c>
      <c r="O463" s="339"/>
      <c r="Q463" s="739"/>
      <c r="R463" s="739"/>
    </row>
    <row r="464" spans="1:18" ht="15" customHeight="1" hidden="1">
      <c r="A464" s="893" t="s">
        <v>215</v>
      </c>
      <c r="B464" s="894"/>
      <c r="C464" s="894"/>
      <c r="D464" s="894"/>
      <c r="E464" s="895"/>
      <c r="F464" s="767">
        <v>55</v>
      </c>
      <c r="G464" s="767"/>
      <c r="H464" s="767">
        <f>F464-1</f>
        <v>54</v>
      </c>
      <c r="I464" s="767"/>
      <c r="J464" s="767">
        <f>F464-2</f>
        <v>53</v>
      </c>
      <c r="K464" s="767"/>
      <c r="L464" s="767">
        <f>F464-3</f>
        <v>52</v>
      </c>
      <c r="M464" s="767"/>
      <c r="N464" s="279">
        <v>45</v>
      </c>
      <c r="O464" s="339"/>
      <c r="Q464" s="744"/>
      <c r="R464" s="744"/>
    </row>
    <row r="465" spans="1:18" ht="15" customHeight="1" hidden="1">
      <c r="A465" s="814" t="s">
        <v>91</v>
      </c>
      <c r="B465" s="815"/>
      <c r="C465" s="815"/>
      <c r="D465" s="815"/>
      <c r="E465" s="816"/>
      <c r="F465" s="807">
        <v>17</v>
      </c>
      <c r="G465" s="807"/>
      <c r="H465" s="807">
        <f>F465-0.5</f>
        <v>16.5</v>
      </c>
      <c r="I465" s="807"/>
      <c r="J465" s="807">
        <f>F465-1</f>
        <v>16</v>
      </c>
      <c r="K465" s="807"/>
      <c r="L465" s="807">
        <f>F465-1.5</f>
        <v>15.5</v>
      </c>
      <c r="M465" s="807"/>
      <c r="N465" s="279">
        <v>15</v>
      </c>
      <c r="O465" s="339"/>
      <c r="Q465" s="741"/>
      <c r="R465" s="741"/>
    </row>
    <row r="466" spans="1:18" ht="15" customHeight="1" hidden="1">
      <c r="A466" s="709" t="s">
        <v>92</v>
      </c>
      <c r="B466" s="710"/>
      <c r="C466" s="710"/>
      <c r="D466" s="710"/>
      <c r="E466" s="711"/>
      <c r="F466" s="764">
        <v>22</v>
      </c>
      <c r="G466" s="764"/>
      <c r="H466" s="764">
        <f>F466-0.5</f>
        <v>21.5</v>
      </c>
      <c r="I466" s="764"/>
      <c r="J466" s="764">
        <f>F466-1</f>
        <v>21</v>
      </c>
      <c r="K466" s="764"/>
      <c r="L466" s="764">
        <f>F466-1.5</f>
        <v>20.5</v>
      </c>
      <c r="M466" s="764"/>
      <c r="N466" s="279">
        <v>20</v>
      </c>
      <c r="O466" s="339"/>
      <c r="Q466" s="739"/>
      <c r="R466" s="739"/>
    </row>
    <row r="467" spans="1:18" ht="15" customHeight="1" hidden="1" thickBot="1">
      <c r="A467" s="811" t="s">
        <v>93</v>
      </c>
      <c r="B467" s="812"/>
      <c r="C467" s="812"/>
      <c r="D467" s="812"/>
      <c r="E467" s="813"/>
      <c r="F467" s="694">
        <v>27</v>
      </c>
      <c r="G467" s="694"/>
      <c r="H467" s="694">
        <f>F467-0.5</f>
        <v>26.5</v>
      </c>
      <c r="I467" s="694"/>
      <c r="J467" s="694">
        <f>F467-1</f>
        <v>26</v>
      </c>
      <c r="K467" s="694"/>
      <c r="L467" s="694">
        <f>F467-1.5</f>
        <v>25.5</v>
      </c>
      <c r="M467" s="694"/>
      <c r="N467" s="279">
        <v>25</v>
      </c>
      <c r="O467" s="339"/>
      <c r="Q467" s="740"/>
      <c r="R467" s="740"/>
    </row>
    <row r="468" ht="13.5" thickTop="1"/>
  </sheetData>
  <sheetProtection selectLockedCells="1" selectUnlockedCells="1"/>
  <mergeCells count="1044">
    <mergeCell ref="A290:E290"/>
    <mergeCell ref="F290:G290"/>
    <mergeCell ref="L290:M290"/>
    <mergeCell ref="J290:K290"/>
    <mergeCell ref="H290:I290"/>
    <mergeCell ref="Q125:R125"/>
    <mergeCell ref="A127:E127"/>
    <mergeCell ref="A128:E128"/>
    <mergeCell ref="A129:E129"/>
    <mergeCell ref="A125:E126"/>
    <mergeCell ref="F125:G125"/>
    <mergeCell ref="H125:I125"/>
    <mergeCell ref="J125:K125"/>
    <mergeCell ref="A289:E289"/>
    <mergeCell ref="F289:G289"/>
    <mergeCell ref="H289:I289"/>
    <mergeCell ref="J289:K289"/>
    <mergeCell ref="A287:E287"/>
    <mergeCell ref="F287:G287"/>
    <mergeCell ref="H287:I287"/>
    <mergeCell ref="L289:M289"/>
    <mergeCell ref="Q289:R289"/>
    <mergeCell ref="A288:E288"/>
    <mergeCell ref="F288:G288"/>
    <mergeCell ref="H288:I288"/>
    <mergeCell ref="J288:K288"/>
    <mergeCell ref="L288:M288"/>
    <mergeCell ref="Q288:R288"/>
    <mergeCell ref="J287:K287"/>
    <mergeCell ref="L287:M287"/>
    <mergeCell ref="Q287:R287"/>
    <mergeCell ref="Q285:R285"/>
    <mergeCell ref="A286:E286"/>
    <mergeCell ref="F286:G286"/>
    <mergeCell ref="H286:I286"/>
    <mergeCell ref="J286:K286"/>
    <mergeCell ref="L286:M286"/>
    <mergeCell ref="Q286:R286"/>
    <mergeCell ref="A301:D301"/>
    <mergeCell ref="F301:G301"/>
    <mergeCell ref="H301:I301"/>
    <mergeCell ref="J301:K301"/>
    <mergeCell ref="L301:M301"/>
    <mergeCell ref="Q301:R301"/>
    <mergeCell ref="A300:D300"/>
    <mergeCell ref="F300:G300"/>
    <mergeCell ref="H300:I300"/>
    <mergeCell ref="J300:K300"/>
    <mergeCell ref="L300:M300"/>
    <mergeCell ref="Q300:R300"/>
    <mergeCell ref="A299:D299"/>
    <mergeCell ref="F299:G299"/>
    <mergeCell ref="H299:I299"/>
    <mergeCell ref="J299:K299"/>
    <mergeCell ref="L299:M299"/>
    <mergeCell ref="Q299:R299"/>
    <mergeCell ref="A297:D297"/>
    <mergeCell ref="F297:G297"/>
    <mergeCell ref="H297:I297"/>
    <mergeCell ref="J297:K297"/>
    <mergeCell ref="L297:M297"/>
    <mergeCell ref="A298:D298"/>
    <mergeCell ref="F298:G298"/>
    <mergeCell ref="H298:I298"/>
    <mergeCell ref="J298:K298"/>
    <mergeCell ref="L298:M298"/>
    <mergeCell ref="L295:M295"/>
    <mergeCell ref="F296:G296"/>
    <mergeCell ref="H296:I296"/>
    <mergeCell ref="J296:K296"/>
    <mergeCell ref="L296:M296"/>
    <mergeCell ref="Q296:R296"/>
    <mergeCell ref="F293:G293"/>
    <mergeCell ref="H293:I293"/>
    <mergeCell ref="J293:K293"/>
    <mergeCell ref="L293:M293"/>
    <mergeCell ref="F294:G294"/>
    <mergeCell ref="H294:I294"/>
    <mergeCell ref="J294:K294"/>
    <mergeCell ref="L294:M294"/>
    <mergeCell ref="N292:O292"/>
    <mergeCell ref="A303:D303"/>
    <mergeCell ref="F303:G303"/>
    <mergeCell ref="H303:I303"/>
    <mergeCell ref="J303:K303"/>
    <mergeCell ref="L303:M303"/>
    <mergeCell ref="A302:D302"/>
    <mergeCell ref="F302:G302"/>
    <mergeCell ref="H302:I302"/>
    <mergeCell ref="J302:K302"/>
    <mergeCell ref="L305:M305"/>
    <mergeCell ref="Q305:R305"/>
    <mergeCell ref="Q303:R303"/>
    <mergeCell ref="F304:G304"/>
    <mergeCell ref="H304:I304"/>
    <mergeCell ref="J304:K304"/>
    <mergeCell ref="L304:M304"/>
    <mergeCell ref="F305:G305"/>
    <mergeCell ref="A305:D305"/>
    <mergeCell ref="A304:D304"/>
    <mergeCell ref="A464:E464"/>
    <mergeCell ref="A294:D294"/>
    <mergeCell ref="A296:D296"/>
    <mergeCell ref="J305:K305"/>
    <mergeCell ref="A295:D295"/>
    <mergeCell ref="F295:G295"/>
    <mergeCell ref="H295:I295"/>
    <mergeCell ref="J295:K295"/>
    <mergeCell ref="F292:G292"/>
    <mergeCell ref="H292:I292"/>
    <mergeCell ref="J292:K292"/>
    <mergeCell ref="A221:E221"/>
    <mergeCell ref="A207:E207"/>
    <mergeCell ref="F134:G134"/>
    <mergeCell ref="A291:M291"/>
    <mergeCell ref="A292:D293"/>
    <mergeCell ref="E292:E293"/>
    <mergeCell ref="L292:M292"/>
    <mergeCell ref="A97:C107"/>
    <mergeCell ref="E106:E107"/>
    <mergeCell ref="D104:D105"/>
    <mergeCell ref="D112:D113"/>
    <mergeCell ref="D118:D119"/>
    <mergeCell ref="E110:E111"/>
    <mergeCell ref="E112:E113"/>
    <mergeCell ref="A108:A115"/>
    <mergeCell ref="L72:M72"/>
    <mergeCell ref="J72:K72"/>
    <mergeCell ref="H77:I77"/>
    <mergeCell ref="H72:I72"/>
    <mergeCell ref="A87:M87"/>
    <mergeCell ref="E100:E101"/>
    <mergeCell ref="A85:E85"/>
    <mergeCell ref="A86:E86"/>
    <mergeCell ref="A84:E84"/>
    <mergeCell ref="A95:C96"/>
    <mergeCell ref="F95:G95"/>
    <mergeCell ref="D100:D101"/>
    <mergeCell ref="H95:I95"/>
    <mergeCell ref="L77:M77"/>
    <mergeCell ref="A131:E131"/>
    <mergeCell ref="E120:E121"/>
    <mergeCell ref="D114:D115"/>
    <mergeCell ref="E118:E119"/>
    <mergeCell ref="E104:E105"/>
    <mergeCell ref="D116:D117"/>
    <mergeCell ref="J133:K133"/>
    <mergeCell ref="H133:I133"/>
    <mergeCell ref="A133:E134"/>
    <mergeCell ref="E122:E123"/>
    <mergeCell ref="A124:M124"/>
    <mergeCell ref="E116:E117"/>
    <mergeCell ref="D122:D123"/>
    <mergeCell ref="J134:K134"/>
    <mergeCell ref="A132:M132"/>
    <mergeCell ref="F133:G133"/>
    <mergeCell ref="A136:E136"/>
    <mergeCell ref="J135:K135"/>
    <mergeCell ref="A138:E138"/>
    <mergeCell ref="A137:E137"/>
    <mergeCell ref="H137:I137"/>
    <mergeCell ref="J137:K137"/>
    <mergeCell ref="H135:I135"/>
    <mergeCell ref="F136:G136"/>
    <mergeCell ref="F135:G135"/>
    <mergeCell ref="A135:E135"/>
    <mergeCell ref="Q457:R457"/>
    <mergeCell ref="L442:M442"/>
    <mergeCell ref="A204:E204"/>
    <mergeCell ref="A219:E219"/>
    <mergeCell ref="A220:E220"/>
    <mergeCell ref="L134:M134"/>
    <mergeCell ref="L135:M135"/>
    <mergeCell ref="L302:M302"/>
    <mergeCell ref="Q302:R302"/>
    <mergeCell ref="H305:I305"/>
    <mergeCell ref="F457:G457"/>
    <mergeCell ref="Q452:R452"/>
    <mergeCell ref="Q453:R453"/>
    <mergeCell ref="Q454:R454"/>
    <mergeCell ref="Q441:R441"/>
    <mergeCell ref="Q442:R442"/>
    <mergeCell ref="Q448:R448"/>
    <mergeCell ref="Q449:R449"/>
    <mergeCell ref="Q447:R447"/>
    <mergeCell ref="Q446:R446"/>
    <mergeCell ref="Q451:R451"/>
    <mergeCell ref="Q381:R381"/>
    <mergeCell ref="Q379:R379"/>
    <mergeCell ref="Q444:R444"/>
    <mergeCell ref="Q440:R440"/>
    <mergeCell ref="Q399:R399"/>
    <mergeCell ref="Q391:R391"/>
    <mergeCell ref="Q445:R445"/>
    <mergeCell ref="Q443:R443"/>
    <mergeCell ref="Q410:R410"/>
    <mergeCell ref="Q395:R395"/>
    <mergeCell ref="Q386:R386"/>
    <mergeCell ref="Q398:R398"/>
    <mergeCell ref="Q284:R284"/>
    <mergeCell ref="A285:E285"/>
    <mergeCell ref="F285:G285"/>
    <mergeCell ref="H285:I285"/>
    <mergeCell ref="J285:K285"/>
    <mergeCell ref="L285:M285"/>
    <mergeCell ref="Q385:R385"/>
    <mergeCell ref="Q393:R393"/>
    <mergeCell ref="Q390:R390"/>
    <mergeCell ref="Q377:R377"/>
    <mergeCell ref="Q376:R376"/>
    <mergeCell ref="Q382:R382"/>
    <mergeCell ref="Q378:R378"/>
    <mergeCell ref="Q400:R400"/>
    <mergeCell ref="Q383:R383"/>
    <mergeCell ref="Q392:R392"/>
    <mergeCell ref="Q394:R394"/>
    <mergeCell ref="Q293:R293"/>
    <mergeCell ref="Q295:R295"/>
    <mergeCell ref="Q297:R297"/>
    <mergeCell ref="Q298:R298"/>
    <mergeCell ref="Q373:R373"/>
    <mergeCell ref="Q396:R396"/>
    <mergeCell ref="Q168:R168"/>
    <mergeCell ref="Q397:R397"/>
    <mergeCell ref="Q374:R374"/>
    <mergeCell ref="Q380:R380"/>
    <mergeCell ref="Q308:R308"/>
    <mergeCell ref="Q370:R370"/>
    <mergeCell ref="Q364:R364"/>
    <mergeCell ref="Q367:R367"/>
    <mergeCell ref="Q304:R304"/>
    <mergeCell ref="Q363:R363"/>
    <mergeCell ref="Q465:R465"/>
    <mergeCell ref="Q462:R462"/>
    <mergeCell ref="Q66:R66"/>
    <mergeCell ref="Q72:R72"/>
    <mergeCell ref="Q133:R133"/>
    <mergeCell ref="Q460:R460"/>
    <mergeCell ref="Q461:R461"/>
    <mergeCell ref="Q464:R464"/>
    <mergeCell ref="Q140:R140"/>
    <mergeCell ref="Q230:R230"/>
    <mergeCell ref="Q455:R455"/>
    <mergeCell ref="Q456:R456"/>
    <mergeCell ref="Q467:R467"/>
    <mergeCell ref="Q292:R292"/>
    <mergeCell ref="Q11:R11"/>
    <mergeCell ref="Q77:R77"/>
    <mergeCell ref="Q55:R55"/>
    <mergeCell ref="Q95:R95"/>
    <mergeCell ref="Q156:R156"/>
    <mergeCell ref="Q183:R183"/>
    <mergeCell ref="Q372:R372"/>
    <mergeCell ref="Q365:R365"/>
    <mergeCell ref="Q368:R368"/>
    <mergeCell ref="Q366:R366"/>
    <mergeCell ref="Q434:R434"/>
    <mergeCell ref="Q388:R388"/>
    <mergeCell ref="Q387:R387"/>
    <mergeCell ref="Q384:R384"/>
    <mergeCell ref="Q375:R375"/>
    <mergeCell ref="Q369:R369"/>
    <mergeCell ref="Q466:R466"/>
    <mergeCell ref="Q294:R294"/>
    <mergeCell ref="A458:E458"/>
    <mergeCell ref="J457:K457"/>
    <mergeCell ref="F374:G374"/>
    <mergeCell ref="F441:G441"/>
    <mergeCell ref="L449:M449"/>
    <mergeCell ref="H452:I452"/>
    <mergeCell ref="F371:G371"/>
    <mergeCell ref="Q463:R463"/>
    <mergeCell ref="F456:G456"/>
    <mergeCell ref="J455:K455"/>
    <mergeCell ref="J386:K386"/>
    <mergeCell ref="H375:I375"/>
    <mergeCell ref="H383:I383"/>
    <mergeCell ref="H378:I378"/>
    <mergeCell ref="F454:G454"/>
    <mergeCell ref="J454:K454"/>
    <mergeCell ref="A450:M450"/>
    <mergeCell ref="A387:E387"/>
    <mergeCell ref="F387:G387"/>
    <mergeCell ref="F385:G385"/>
    <mergeCell ref="J448:K448"/>
    <mergeCell ref="F390:G390"/>
    <mergeCell ref="F392:G392"/>
    <mergeCell ref="H392:I392"/>
    <mergeCell ref="H390:I390"/>
    <mergeCell ref="J387:K387"/>
    <mergeCell ref="H386:I386"/>
    <mergeCell ref="F386:G386"/>
    <mergeCell ref="A451:E452"/>
    <mergeCell ref="F440:G440"/>
    <mergeCell ref="H440:I440"/>
    <mergeCell ref="H442:I442"/>
    <mergeCell ref="F444:G444"/>
    <mergeCell ref="F449:G449"/>
    <mergeCell ref="A448:E448"/>
    <mergeCell ref="F446:G446"/>
    <mergeCell ref="F442:G442"/>
    <mergeCell ref="F448:G448"/>
    <mergeCell ref="H458:I458"/>
    <mergeCell ref="J383:K383"/>
    <mergeCell ref="J380:K380"/>
    <mergeCell ref="J385:K385"/>
    <mergeCell ref="J379:K379"/>
    <mergeCell ref="H385:I385"/>
    <mergeCell ref="H456:I456"/>
    <mergeCell ref="H454:I454"/>
    <mergeCell ref="J388:K388"/>
    <mergeCell ref="H457:I457"/>
    <mergeCell ref="L455:M455"/>
    <mergeCell ref="F455:G455"/>
    <mergeCell ref="H455:I455"/>
    <mergeCell ref="H451:I451"/>
    <mergeCell ref="F452:G452"/>
    <mergeCell ref="H453:I453"/>
    <mergeCell ref="J452:K452"/>
    <mergeCell ref="F453:G453"/>
    <mergeCell ref="J453:K453"/>
    <mergeCell ref="J451:K451"/>
    <mergeCell ref="L365:M365"/>
    <mergeCell ref="L372:M372"/>
    <mergeCell ref="B313:D313"/>
    <mergeCell ref="B311:D311"/>
    <mergeCell ref="A444:E444"/>
    <mergeCell ref="A440:E441"/>
    <mergeCell ref="H368:I368"/>
    <mergeCell ref="B317:D317"/>
    <mergeCell ref="B316:D316"/>
    <mergeCell ref="L383:M383"/>
    <mergeCell ref="L380:M380"/>
    <mergeCell ref="L374:M374"/>
    <mergeCell ref="L373:M373"/>
    <mergeCell ref="L379:M379"/>
    <mergeCell ref="L385:M385"/>
    <mergeCell ref="L387:M387"/>
    <mergeCell ref="L376:M376"/>
    <mergeCell ref="L375:M375"/>
    <mergeCell ref="J381:K381"/>
    <mergeCell ref="L369:M369"/>
    <mergeCell ref="A370:E370"/>
    <mergeCell ref="A375:E375"/>
    <mergeCell ref="L386:M386"/>
    <mergeCell ref="H382:I382"/>
    <mergeCell ref="H380:I380"/>
    <mergeCell ref="A380:E380"/>
    <mergeCell ref="F378:G378"/>
    <mergeCell ref="A382:E382"/>
    <mergeCell ref="A373:E373"/>
    <mergeCell ref="B324:D324"/>
    <mergeCell ref="B325:D325"/>
    <mergeCell ref="B326:D326"/>
    <mergeCell ref="B320:D320"/>
    <mergeCell ref="F367:G367"/>
    <mergeCell ref="F370:G370"/>
    <mergeCell ref="B322:D322"/>
    <mergeCell ref="B331:D331"/>
    <mergeCell ref="B345:D345"/>
    <mergeCell ref="F369:G369"/>
    <mergeCell ref="A388:E388"/>
    <mergeCell ref="F388:G388"/>
    <mergeCell ref="H388:I388"/>
    <mergeCell ref="H387:I387"/>
    <mergeCell ref="A379:E379"/>
    <mergeCell ref="A384:E384"/>
    <mergeCell ref="A381:E381"/>
    <mergeCell ref="F383:G383"/>
    <mergeCell ref="A386:E386"/>
    <mergeCell ref="B357:D357"/>
    <mergeCell ref="B359:D359"/>
    <mergeCell ref="A367:E367"/>
    <mergeCell ref="A371:E371"/>
    <mergeCell ref="A369:E369"/>
    <mergeCell ref="A368:E368"/>
    <mergeCell ref="A377:E377"/>
    <mergeCell ref="H370:I370"/>
    <mergeCell ref="J374:K374"/>
    <mergeCell ref="A372:E372"/>
    <mergeCell ref="F372:G372"/>
    <mergeCell ref="F373:G373"/>
    <mergeCell ref="H376:I376"/>
    <mergeCell ref="H377:I377"/>
    <mergeCell ref="J370:K370"/>
    <mergeCell ref="J376:K376"/>
    <mergeCell ref="F379:G379"/>
    <mergeCell ref="H379:I379"/>
    <mergeCell ref="J372:K372"/>
    <mergeCell ref="J373:K373"/>
    <mergeCell ref="J377:K377"/>
    <mergeCell ref="J375:K375"/>
    <mergeCell ref="F380:G380"/>
    <mergeCell ref="F381:G381"/>
    <mergeCell ref="Q458:R458"/>
    <mergeCell ref="N308:O308"/>
    <mergeCell ref="N351:O351"/>
    <mergeCell ref="Q351:R351"/>
    <mergeCell ref="L351:M351"/>
    <mergeCell ref="L370:M370"/>
    <mergeCell ref="Q371:R371"/>
    <mergeCell ref="F375:G375"/>
    <mergeCell ref="L456:M456"/>
    <mergeCell ref="L378:M378"/>
    <mergeCell ref="L371:M371"/>
    <mergeCell ref="L453:M453"/>
    <mergeCell ref="L454:M454"/>
    <mergeCell ref="L441:M441"/>
    <mergeCell ref="L448:M448"/>
    <mergeCell ref="L451:M451"/>
    <mergeCell ref="A401:M401"/>
    <mergeCell ref="A402:A403"/>
    <mergeCell ref="L364:M364"/>
    <mergeCell ref="J384:K384"/>
    <mergeCell ref="L388:M388"/>
    <mergeCell ref="L452:M452"/>
    <mergeCell ref="L384:M384"/>
    <mergeCell ref="L444:M444"/>
    <mergeCell ref="L382:M382"/>
    <mergeCell ref="L381:M381"/>
    <mergeCell ref="J364:K364"/>
    <mergeCell ref="L443:M443"/>
    <mergeCell ref="L363:M363"/>
    <mergeCell ref="J382:K382"/>
    <mergeCell ref="A439:M439"/>
    <mergeCell ref="J378:K378"/>
    <mergeCell ref="J369:K369"/>
    <mergeCell ref="L392:M392"/>
    <mergeCell ref="J363:K363"/>
    <mergeCell ref="L377:M377"/>
    <mergeCell ref="J367:K367"/>
    <mergeCell ref="J396:K396"/>
    <mergeCell ref="H438:I438"/>
    <mergeCell ref="J446:K446"/>
    <mergeCell ref="J441:K441"/>
    <mergeCell ref="J445:K445"/>
    <mergeCell ref="L445:M445"/>
    <mergeCell ref="J434:K434"/>
    <mergeCell ref="J444:K444"/>
    <mergeCell ref="J440:K440"/>
    <mergeCell ref="L440:M440"/>
    <mergeCell ref="H445:I445"/>
    <mergeCell ref="A447:E447"/>
    <mergeCell ref="J308:K308"/>
    <mergeCell ref="J366:K366"/>
    <mergeCell ref="L308:M308"/>
    <mergeCell ref="J368:K368"/>
    <mergeCell ref="J371:K371"/>
    <mergeCell ref="L368:M368"/>
    <mergeCell ref="L366:M366"/>
    <mergeCell ref="L367:M367"/>
    <mergeCell ref="A350:M350"/>
    <mergeCell ref="L390:M390"/>
    <mergeCell ref="L395:M395"/>
    <mergeCell ref="L394:M394"/>
    <mergeCell ref="L391:M391"/>
    <mergeCell ref="J438:K438"/>
    <mergeCell ref="J398:K398"/>
    <mergeCell ref="L399:M399"/>
    <mergeCell ref="J397:K397"/>
    <mergeCell ref="J394:K394"/>
    <mergeCell ref="J391:K391"/>
    <mergeCell ref="L457:M457"/>
    <mergeCell ref="L458:M458"/>
    <mergeCell ref="B327:D327"/>
    <mergeCell ref="J458:K458"/>
    <mergeCell ref="B348:D348"/>
    <mergeCell ref="B349:D349"/>
    <mergeCell ref="J456:K456"/>
    <mergeCell ref="J442:K442"/>
    <mergeCell ref="L446:M446"/>
    <mergeCell ref="A454:E454"/>
    <mergeCell ref="B314:D314"/>
    <mergeCell ref="A376:E376"/>
    <mergeCell ref="F376:G376"/>
    <mergeCell ref="B319:D319"/>
    <mergeCell ref="H365:I365"/>
    <mergeCell ref="F363:G363"/>
    <mergeCell ref="A366:E366"/>
    <mergeCell ref="H374:I374"/>
    <mergeCell ref="H372:I372"/>
    <mergeCell ref="A362:M362"/>
    <mergeCell ref="B318:D318"/>
    <mergeCell ref="F377:G377"/>
    <mergeCell ref="A378:E378"/>
    <mergeCell ref="A383:E383"/>
    <mergeCell ref="A449:E449"/>
    <mergeCell ref="A374:E374"/>
    <mergeCell ref="A385:E385"/>
    <mergeCell ref="F351:G351"/>
    <mergeCell ref="B330:D330"/>
    <mergeCell ref="A445:E445"/>
    <mergeCell ref="A456:E456"/>
    <mergeCell ref="L465:M465"/>
    <mergeCell ref="F451:G451"/>
    <mergeCell ref="F308:G308"/>
    <mergeCell ref="F458:G458"/>
    <mergeCell ref="F384:G384"/>
    <mergeCell ref="A453:E453"/>
    <mergeCell ref="B323:D323"/>
    <mergeCell ref="B343:D343"/>
    <mergeCell ref="B332:D332"/>
    <mergeCell ref="A457:E457"/>
    <mergeCell ref="B329:D329"/>
    <mergeCell ref="F365:G365"/>
    <mergeCell ref="B346:D346"/>
    <mergeCell ref="A363:E364"/>
    <mergeCell ref="A455:E455"/>
    <mergeCell ref="A434:E435"/>
    <mergeCell ref="A351:A352"/>
    <mergeCell ref="A365:E365"/>
    <mergeCell ref="B358:D358"/>
    <mergeCell ref="B310:D310"/>
    <mergeCell ref="A228:E228"/>
    <mergeCell ref="A182:M182"/>
    <mergeCell ref="A201:E201"/>
    <mergeCell ref="A185:M185"/>
    <mergeCell ref="B328:D328"/>
    <mergeCell ref="B315:D315"/>
    <mergeCell ref="B321:D321"/>
    <mergeCell ref="A195:E195"/>
    <mergeCell ref="A198:E198"/>
    <mergeCell ref="A210:E210"/>
    <mergeCell ref="A199:E199"/>
    <mergeCell ref="A144:E144"/>
    <mergeCell ref="A146:E146"/>
    <mergeCell ref="A69:E69"/>
    <mergeCell ref="D120:D121"/>
    <mergeCell ref="A205:M205"/>
    <mergeCell ref="A192:E192"/>
    <mergeCell ref="A191:E191"/>
    <mergeCell ref="A188:E188"/>
    <mergeCell ref="A197:E197"/>
    <mergeCell ref="A139:M139"/>
    <mergeCell ref="L156:M156"/>
    <mergeCell ref="A156:E157"/>
    <mergeCell ref="E102:E103"/>
    <mergeCell ref="D106:D107"/>
    <mergeCell ref="L183:M183"/>
    <mergeCell ref="H134:I134"/>
    <mergeCell ref="L133:M133"/>
    <mergeCell ref="L125:M125"/>
    <mergeCell ref="J140:K140"/>
    <mergeCell ref="A55:C56"/>
    <mergeCell ref="A58:C58"/>
    <mergeCell ref="L434:M434"/>
    <mergeCell ref="A186:E186"/>
    <mergeCell ref="A187:E187"/>
    <mergeCell ref="A190:E190"/>
    <mergeCell ref="A155:M155"/>
    <mergeCell ref="A70:E70"/>
    <mergeCell ref="A116:C123"/>
    <mergeCell ref="L150:M150"/>
    <mergeCell ref="A59:C59"/>
    <mergeCell ref="A65:M65"/>
    <mergeCell ref="A66:E67"/>
    <mergeCell ref="A79:C79"/>
    <mergeCell ref="F66:G66"/>
    <mergeCell ref="A75:E75"/>
    <mergeCell ref="A71:M71"/>
    <mergeCell ref="A72:E73"/>
    <mergeCell ref="F72:G72"/>
    <mergeCell ref="J77:K77"/>
    <mergeCell ref="F77:G77"/>
    <mergeCell ref="A64:C64"/>
    <mergeCell ref="A62:C62"/>
    <mergeCell ref="A77:C78"/>
    <mergeCell ref="A63:C63"/>
    <mergeCell ref="A74:E74"/>
    <mergeCell ref="J66:K66"/>
    <mergeCell ref="A21:C28"/>
    <mergeCell ref="A13:C20"/>
    <mergeCell ref="A29:C36"/>
    <mergeCell ref="J55:K55"/>
    <mergeCell ref="F55:G55"/>
    <mergeCell ref="A61:C61"/>
    <mergeCell ref="A81:C81"/>
    <mergeCell ref="A82:C82"/>
    <mergeCell ref="A83:C83"/>
    <mergeCell ref="A45:C53"/>
    <mergeCell ref="A76:E76"/>
    <mergeCell ref="A37:C44"/>
    <mergeCell ref="A57:C57"/>
    <mergeCell ref="A54:M54"/>
    <mergeCell ref="A68:E68"/>
    <mergeCell ref="L66:M66"/>
    <mergeCell ref="A10:M10"/>
    <mergeCell ref="F11:G11"/>
    <mergeCell ref="E108:E109"/>
    <mergeCell ref="D108:D109"/>
    <mergeCell ref="A60:C60"/>
    <mergeCell ref="A11:C12"/>
    <mergeCell ref="L55:M55"/>
    <mergeCell ref="H11:I11"/>
    <mergeCell ref="J11:K11"/>
    <mergeCell ref="H55:I55"/>
    <mergeCell ref="L11:M11"/>
    <mergeCell ref="A166:E166"/>
    <mergeCell ref="A172:E172"/>
    <mergeCell ref="A167:M167"/>
    <mergeCell ref="J168:K168"/>
    <mergeCell ref="A148:E148"/>
    <mergeCell ref="A142:E142"/>
    <mergeCell ref="A162:E162"/>
    <mergeCell ref="J156:K156"/>
    <mergeCell ref="F137:G137"/>
    <mergeCell ref="F156:G156"/>
    <mergeCell ref="H183:I183"/>
    <mergeCell ref="A158:E158"/>
    <mergeCell ref="B333:D333"/>
    <mergeCell ref="F183:G183"/>
    <mergeCell ref="A211:E211"/>
    <mergeCell ref="A193:E193"/>
    <mergeCell ref="A194:E194"/>
    <mergeCell ref="H156:I156"/>
    <mergeCell ref="A189:E189"/>
    <mergeCell ref="J95:K95"/>
    <mergeCell ref="A160:E160"/>
    <mergeCell ref="A159:E159"/>
    <mergeCell ref="A150:E151"/>
    <mergeCell ref="H150:I150"/>
    <mergeCell ref="A165:E165"/>
    <mergeCell ref="H140:I140"/>
    <mergeCell ref="J138:K138"/>
    <mergeCell ref="A164:E164"/>
    <mergeCell ref="A140:E141"/>
    <mergeCell ref="L95:M95"/>
    <mergeCell ref="A80:C80"/>
    <mergeCell ref="H66:I66"/>
    <mergeCell ref="J183:K183"/>
    <mergeCell ref="L168:M168"/>
    <mergeCell ref="A168:E169"/>
    <mergeCell ref="F168:G168"/>
    <mergeCell ref="D110:D111"/>
    <mergeCell ref="D102:D103"/>
    <mergeCell ref="E114:E115"/>
    <mergeCell ref="A171:E171"/>
    <mergeCell ref="A183:E184"/>
    <mergeCell ref="F138:G138"/>
    <mergeCell ref="A145:E145"/>
    <mergeCell ref="A143:E143"/>
    <mergeCell ref="H138:I138"/>
    <mergeCell ref="A163:E163"/>
    <mergeCell ref="F140:G140"/>
    <mergeCell ref="A170:E170"/>
    <mergeCell ref="A147:E147"/>
    <mergeCell ref="A307:M307"/>
    <mergeCell ref="L137:M137"/>
    <mergeCell ref="H136:I136"/>
    <mergeCell ref="J136:K136"/>
    <mergeCell ref="L136:M136"/>
    <mergeCell ref="A224:E224"/>
    <mergeCell ref="A218:E218"/>
    <mergeCell ref="F150:G150"/>
    <mergeCell ref="A161:E161"/>
    <mergeCell ref="A196:E196"/>
    <mergeCell ref="J449:K449"/>
    <mergeCell ref="J466:K466"/>
    <mergeCell ref="J460:K460"/>
    <mergeCell ref="A459:M459"/>
    <mergeCell ref="L462:M462"/>
    <mergeCell ref="H460:I460"/>
    <mergeCell ref="A463:E463"/>
    <mergeCell ref="F460:G460"/>
    <mergeCell ref="F461:G461"/>
    <mergeCell ref="F463:G463"/>
    <mergeCell ref="B312:D312"/>
    <mergeCell ref="H351:I351"/>
    <mergeCell ref="J351:K351"/>
    <mergeCell ref="B339:D339"/>
    <mergeCell ref="B338:D338"/>
    <mergeCell ref="F434:G434"/>
    <mergeCell ref="F368:G368"/>
    <mergeCell ref="B347:D347"/>
    <mergeCell ref="B351:D352"/>
    <mergeCell ref="H363:I363"/>
    <mergeCell ref="L460:M460"/>
    <mergeCell ref="H461:I461"/>
    <mergeCell ref="A460:E461"/>
    <mergeCell ref="H466:I466"/>
    <mergeCell ref="F464:G464"/>
    <mergeCell ref="J461:K461"/>
    <mergeCell ref="L461:M461"/>
    <mergeCell ref="H464:I464"/>
    <mergeCell ref="A465:E465"/>
    <mergeCell ref="A466:E466"/>
    <mergeCell ref="A462:E462"/>
    <mergeCell ref="J464:K464"/>
    <mergeCell ref="A467:E467"/>
    <mergeCell ref="J463:K463"/>
    <mergeCell ref="F462:G462"/>
    <mergeCell ref="F466:G466"/>
    <mergeCell ref="F465:G465"/>
    <mergeCell ref="H467:I467"/>
    <mergeCell ref="J467:K467"/>
    <mergeCell ref="F467:G467"/>
    <mergeCell ref="L466:M466"/>
    <mergeCell ref="L464:M464"/>
    <mergeCell ref="L463:M463"/>
    <mergeCell ref="J465:K465"/>
    <mergeCell ref="H465:I465"/>
    <mergeCell ref="J462:K462"/>
    <mergeCell ref="H462:I462"/>
    <mergeCell ref="H463:I463"/>
    <mergeCell ref="A308:A309"/>
    <mergeCell ref="B342:D342"/>
    <mergeCell ref="B341:D341"/>
    <mergeCell ref="L467:M467"/>
    <mergeCell ref="H308:I308"/>
    <mergeCell ref="B336:D336"/>
    <mergeCell ref="B337:D337"/>
    <mergeCell ref="L447:M447"/>
    <mergeCell ref="J447:K447"/>
    <mergeCell ref="H364:I364"/>
    <mergeCell ref="H369:I369"/>
    <mergeCell ref="H367:I367"/>
    <mergeCell ref="B355:D355"/>
    <mergeCell ref="A390:E391"/>
    <mergeCell ref="F391:G391"/>
    <mergeCell ref="H391:I391"/>
    <mergeCell ref="F382:G382"/>
    <mergeCell ref="H373:I373"/>
    <mergeCell ref="H371:I371"/>
    <mergeCell ref="H381:I381"/>
    <mergeCell ref="A389:M389"/>
    <mergeCell ref="H399:I399"/>
    <mergeCell ref="J395:K395"/>
    <mergeCell ref="H398:I398"/>
    <mergeCell ref="L397:M397"/>
    <mergeCell ref="J392:K392"/>
    <mergeCell ref="F393:G393"/>
    <mergeCell ref="H393:I393"/>
    <mergeCell ref="J390:K390"/>
    <mergeCell ref="J393:K393"/>
    <mergeCell ref="J365:K365"/>
    <mergeCell ref="A399:E399"/>
    <mergeCell ref="F399:G399"/>
    <mergeCell ref="L398:M398"/>
    <mergeCell ref="A395:E395"/>
    <mergeCell ref="J400:K400"/>
    <mergeCell ref="L400:M400"/>
    <mergeCell ref="F398:G398"/>
    <mergeCell ref="H366:I366"/>
    <mergeCell ref="J399:K399"/>
    <mergeCell ref="A392:E392"/>
    <mergeCell ref="L393:M393"/>
    <mergeCell ref="L396:M396"/>
    <mergeCell ref="F395:G395"/>
    <mergeCell ref="H395:I395"/>
    <mergeCell ref="A396:E396"/>
    <mergeCell ref="F396:G396"/>
    <mergeCell ref="H396:I396"/>
    <mergeCell ref="H394:I394"/>
    <mergeCell ref="E9:I9"/>
    <mergeCell ref="B308:D309"/>
    <mergeCell ref="H384:I384"/>
    <mergeCell ref="A397:E397"/>
    <mergeCell ref="A240:B240"/>
    <mergeCell ref="A234:B234"/>
    <mergeCell ref="B353:D353"/>
    <mergeCell ref="B340:D340"/>
    <mergeCell ref="H397:I397"/>
    <mergeCell ref="A206:E206"/>
    <mergeCell ref="A398:E398"/>
    <mergeCell ref="F397:G397"/>
    <mergeCell ref="F400:G400"/>
    <mergeCell ref="A400:E400"/>
    <mergeCell ref="A394:E394"/>
    <mergeCell ref="F394:G394"/>
    <mergeCell ref="A409:M409"/>
    <mergeCell ref="H449:I449"/>
    <mergeCell ref="F364:G364"/>
    <mergeCell ref="B354:D354"/>
    <mergeCell ref="B356:D356"/>
    <mergeCell ref="H444:I444"/>
    <mergeCell ref="F447:G447"/>
    <mergeCell ref="H441:I441"/>
    <mergeCell ref="A421:D421"/>
    <mergeCell ref="H437:I437"/>
    <mergeCell ref="A436:E436"/>
    <mergeCell ref="L402:M402"/>
    <mergeCell ref="A410:D411"/>
    <mergeCell ref="A412:D412"/>
    <mergeCell ref="A413:D413"/>
    <mergeCell ref="B408:D408"/>
    <mergeCell ref="B404:D404"/>
    <mergeCell ref="J402:K402"/>
    <mergeCell ref="J435:K435"/>
    <mergeCell ref="L435:M435"/>
    <mergeCell ref="F445:G445"/>
    <mergeCell ref="A393:E393"/>
    <mergeCell ref="A425:D425"/>
    <mergeCell ref="J443:K443"/>
    <mergeCell ref="A442:E442"/>
    <mergeCell ref="A430:D430"/>
    <mergeCell ref="A431:D431"/>
    <mergeCell ref="A415:D415"/>
    <mergeCell ref="A416:D416"/>
    <mergeCell ref="A432:D432"/>
    <mergeCell ref="H435:I435"/>
    <mergeCell ref="A446:E446"/>
    <mergeCell ref="A437:E437"/>
    <mergeCell ref="H447:I447"/>
    <mergeCell ref="F366:G366"/>
    <mergeCell ref="B334:D334"/>
    <mergeCell ref="B335:D335"/>
    <mergeCell ref="F443:G443"/>
    <mergeCell ref="H443:I443"/>
    <mergeCell ref="A443:E443"/>
    <mergeCell ref="Q243:R243"/>
    <mergeCell ref="H448:I448"/>
    <mergeCell ref="A426:D426"/>
    <mergeCell ref="A427:D427"/>
    <mergeCell ref="A428:D428"/>
    <mergeCell ref="A429:D429"/>
    <mergeCell ref="F437:G437"/>
    <mergeCell ref="H446:I446"/>
    <mergeCell ref="A438:E438"/>
    <mergeCell ref="F435:G435"/>
    <mergeCell ref="N402:O402"/>
    <mergeCell ref="Q402:R402"/>
    <mergeCell ref="B407:D407"/>
    <mergeCell ref="B405:D405"/>
    <mergeCell ref="B406:D406"/>
    <mergeCell ref="B402:D403"/>
    <mergeCell ref="F402:G402"/>
    <mergeCell ref="H402:I402"/>
    <mergeCell ref="Q242:R242"/>
    <mergeCell ref="Q150:R150"/>
    <mergeCell ref="A152:E152"/>
    <mergeCell ref="A153:E153"/>
    <mergeCell ref="A154:E154"/>
    <mergeCell ref="A209:E209"/>
    <mergeCell ref="A212:E212"/>
    <mergeCell ref="H168:I168"/>
    <mergeCell ref="A237:B237"/>
    <mergeCell ref="A208:E208"/>
    <mergeCell ref="Q239:R239"/>
    <mergeCell ref="Q233:R233"/>
    <mergeCell ref="Q238:R238"/>
    <mergeCell ref="Q241:R241"/>
    <mergeCell ref="A215:E215"/>
    <mergeCell ref="Q232:R232"/>
    <mergeCell ref="A232:B232"/>
    <mergeCell ref="A235:B235"/>
    <mergeCell ref="A238:B238"/>
    <mergeCell ref="Q240:R240"/>
    <mergeCell ref="Q236:R236"/>
    <mergeCell ref="A233:B233"/>
    <mergeCell ref="Q237:R237"/>
    <mergeCell ref="Q235:R235"/>
    <mergeCell ref="A236:B236"/>
    <mergeCell ref="H230:I230"/>
    <mergeCell ref="Q234:R234"/>
    <mergeCell ref="A230:B231"/>
    <mergeCell ref="Q231:R231"/>
    <mergeCell ref="A241:B241"/>
    <mergeCell ref="A229:M229"/>
    <mergeCell ref="F230:G230"/>
    <mergeCell ref="A200:E200"/>
    <mergeCell ref="A239:B239"/>
    <mergeCell ref="A226:E226"/>
    <mergeCell ref="A217:E217"/>
    <mergeCell ref="A214:E214"/>
    <mergeCell ref="C230:E230"/>
    <mergeCell ref="A203:E203"/>
    <mergeCell ref="L437:M437"/>
    <mergeCell ref="F438:G438"/>
    <mergeCell ref="J437:K437"/>
    <mergeCell ref="L438:M438"/>
    <mergeCell ref="H434:I434"/>
    <mergeCell ref="J150:K150"/>
    <mergeCell ref="L306:M306"/>
    <mergeCell ref="A433:M433"/>
    <mergeCell ref="H255:I255"/>
    <mergeCell ref="J255:K255"/>
    <mergeCell ref="A422:D422"/>
    <mergeCell ref="A423:D423"/>
    <mergeCell ref="A424:D424"/>
    <mergeCell ref="J230:K230"/>
    <mergeCell ref="A202:E202"/>
    <mergeCell ref="A222:E222"/>
    <mergeCell ref="A223:E223"/>
    <mergeCell ref="A213:E213"/>
    <mergeCell ref="F306:G306"/>
    <mergeCell ref="H306:I306"/>
    <mergeCell ref="A149:M149"/>
    <mergeCell ref="L230:M230"/>
    <mergeCell ref="A216:E216"/>
    <mergeCell ref="A227:E227"/>
    <mergeCell ref="A225:M225"/>
    <mergeCell ref="A420:D420"/>
    <mergeCell ref="A418:D418"/>
    <mergeCell ref="J306:K306"/>
    <mergeCell ref="A242:B242"/>
    <mergeCell ref="A243:B243"/>
    <mergeCell ref="N410:P410"/>
    <mergeCell ref="F410:G410"/>
    <mergeCell ref="H410:I410"/>
    <mergeCell ref="J410:K410"/>
    <mergeCell ref="L410:M410"/>
    <mergeCell ref="A417:D417"/>
    <mergeCell ref="A414:D414"/>
    <mergeCell ref="L138:M138"/>
    <mergeCell ref="L140:M140"/>
    <mergeCell ref="A419:D419"/>
    <mergeCell ref="A244:M244"/>
    <mergeCell ref="H400:I400"/>
    <mergeCell ref="B344:D344"/>
    <mergeCell ref="A306:D306"/>
    <mergeCell ref="A254:M254"/>
    <mergeCell ref="A255:E256"/>
    <mergeCell ref="F255:G255"/>
    <mergeCell ref="L255:M255"/>
    <mergeCell ref="Q255:R255"/>
    <mergeCell ref="F256:G256"/>
    <mergeCell ref="H256:I256"/>
    <mergeCell ref="J256:K256"/>
    <mergeCell ref="L256:M256"/>
    <mergeCell ref="Q256:R256"/>
    <mergeCell ref="A257:D257"/>
    <mergeCell ref="F257:G257"/>
    <mergeCell ref="H257:I257"/>
    <mergeCell ref="J257:K257"/>
    <mergeCell ref="L257:M257"/>
    <mergeCell ref="Q257:R257"/>
    <mergeCell ref="A258:D258"/>
    <mergeCell ref="F258:G258"/>
    <mergeCell ref="H258:I258"/>
    <mergeCell ref="J258:K258"/>
    <mergeCell ref="L258:M258"/>
    <mergeCell ref="Q258:R258"/>
    <mergeCell ref="A259:D259"/>
    <mergeCell ref="F259:G259"/>
    <mergeCell ref="H259:I259"/>
    <mergeCell ref="J259:K259"/>
    <mergeCell ref="L259:M259"/>
    <mergeCell ref="Q259:R259"/>
    <mergeCell ref="A260:D260"/>
    <mergeCell ref="F260:G260"/>
    <mergeCell ref="H260:I260"/>
    <mergeCell ref="J260:K260"/>
    <mergeCell ref="L260:M260"/>
    <mergeCell ref="Q260:R260"/>
    <mergeCell ref="A261:D261"/>
    <mergeCell ref="F261:G261"/>
    <mergeCell ref="H261:I261"/>
    <mergeCell ref="J261:K261"/>
    <mergeCell ref="L261:M261"/>
    <mergeCell ref="Q261:R261"/>
    <mergeCell ref="A262:D262"/>
    <mergeCell ref="F262:G262"/>
    <mergeCell ref="H262:I262"/>
    <mergeCell ref="J262:K262"/>
    <mergeCell ref="L262:M262"/>
    <mergeCell ref="Q262:R262"/>
    <mergeCell ref="F283:G283"/>
    <mergeCell ref="H283:I283"/>
    <mergeCell ref="J283:K283"/>
    <mergeCell ref="L283:M283"/>
    <mergeCell ref="Q283:R283"/>
    <mergeCell ref="A284:E284"/>
    <mergeCell ref="F284:G284"/>
    <mergeCell ref="H284:I284"/>
    <mergeCell ref="J284:K284"/>
    <mergeCell ref="L284:M284"/>
    <mergeCell ref="A263:M263"/>
    <mergeCell ref="A264:E265"/>
    <mergeCell ref="F264:G264"/>
    <mergeCell ref="H264:I264"/>
    <mergeCell ref="J264:K264"/>
    <mergeCell ref="L264:M264"/>
    <mergeCell ref="Q264:R264"/>
    <mergeCell ref="F265:G265"/>
    <mergeCell ref="H265:I265"/>
    <mergeCell ref="J265:K265"/>
    <mergeCell ref="L265:M265"/>
    <mergeCell ref="Q265:R265"/>
    <mergeCell ref="F266:G266"/>
    <mergeCell ref="H266:I266"/>
    <mergeCell ref="J266:K266"/>
    <mergeCell ref="L266:M266"/>
    <mergeCell ref="Q266:R266"/>
    <mergeCell ref="F282:G282"/>
    <mergeCell ref="H282:I282"/>
    <mergeCell ref="J282:K282"/>
    <mergeCell ref="L282:M282"/>
    <mergeCell ref="Q282:R282"/>
    <mergeCell ref="J280:K280"/>
    <mergeCell ref="L280:M280"/>
    <mergeCell ref="Q280:R280"/>
    <mergeCell ref="F281:G281"/>
    <mergeCell ref="H281:I281"/>
    <mergeCell ref="J281:K281"/>
    <mergeCell ref="L281:M281"/>
    <mergeCell ref="Q281:R281"/>
    <mergeCell ref="A282:E282"/>
    <mergeCell ref="A283:E283"/>
    <mergeCell ref="H278:I278"/>
    <mergeCell ref="J278:K278"/>
    <mergeCell ref="L278:M278"/>
    <mergeCell ref="Q278:R278"/>
    <mergeCell ref="A279:E279"/>
    <mergeCell ref="F279:G279"/>
    <mergeCell ref="H279:I279"/>
    <mergeCell ref="J279:K279"/>
    <mergeCell ref="J277:K277"/>
    <mergeCell ref="L277:M277"/>
    <mergeCell ref="Q277:R277"/>
    <mergeCell ref="F278:G278"/>
    <mergeCell ref="A280:E280"/>
    <mergeCell ref="A281:E281"/>
    <mergeCell ref="L279:M279"/>
    <mergeCell ref="Q279:R279"/>
    <mergeCell ref="F280:G280"/>
    <mergeCell ref="H280:I280"/>
    <mergeCell ref="Q268:R268"/>
    <mergeCell ref="A276:M276"/>
    <mergeCell ref="A277:E278"/>
    <mergeCell ref="F277:G277"/>
    <mergeCell ref="H277:I277"/>
    <mergeCell ref="F267:G267"/>
    <mergeCell ref="H267:I267"/>
    <mergeCell ref="J267:K267"/>
    <mergeCell ref="L267:M267"/>
    <mergeCell ref="Q267:R267"/>
    <mergeCell ref="F270:G270"/>
    <mergeCell ref="H270:I270"/>
    <mergeCell ref="J270:K270"/>
    <mergeCell ref="L270:M270"/>
    <mergeCell ref="F268:G268"/>
    <mergeCell ref="H268:I268"/>
    <mergeCell ref="J268:K268"/>
    <mergeCell ref="L268:M268"/>
    <mergeCell ref="A130:E130"/>
    <mergeCell ref="A272:E272"/>
    <mergeCell ref="A273:E273"/>
    <mergeCell ref="A274:E274"/>
    <mergeCell ref="A275:E275"/>
    <mergeCell ref="A266:E266"/>
    <mergeCell ref="A267:E267"/>
    <mergeCell ref="A268:E268"/>
    <mergeCell ref="A269:M269"/>
    <mergeCell ref="A270:E271"/>
  </mergeCells>
  <hyperlinks>
    <hyperlink ref="L6" r:id="rId1" display="info@agrohoztorg.ru"/>
    <hyperlink ref="L7" r:id="rId2" display="www.agrohoztorg.ru"/>
  </hyperlinks>
  <printOptions/>
  <pageMargins left="0.7874015748031497" right="0.1968503937007874" top="0.3937007874015748" bottom="0.3937007874015748" header="0.1968503937007874" footer="0.1968503937007874"/>
  <pageSetup fitToHeight="0" fitToWidth="1" horizontalDpi="600" verticalDpi="600" orientation="portrait" paperSize="9" scale="63" r:id="rId5"/>
  <headerFooter alignWithMargins="0">
    <oddHeader>&amp;C&amp;8&amp;D</oddHeader>
    <oddFooter>&amp;C&amp;8&amp;P</oddFooter>
  </headerFooter>
  <rowBreaks count="6" manualBreakCount="6">
    <brk id="86" max="12" man="1"/>
    <brk id="166" max="12" man="1"/>
    <brk id="306" max="12" man="1"/>
    <brk id="438" max="12" man="1"/>
    <brk id="449" max="12" man="1"/>
    <brk id="458" max="12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="120" zoomScaleNormal="120" zoomScalePageLayoutView="0" workbookViewId="0" topLeftCell="A1">
      <selection activeCell="A10" sqref="A10:M10"/>
    </sheetView>
  </sheetViews>
  <sheetFormatPr defaultColWidth="9.140625" defaultRowHeight="12.75"/>
  <cols>
    <col min="5" max="5" width="15.421875" style="0" customWidth="1"/>
    <col min="6" max="6" width="10.00390625" style="0" customWidth="1"/>
    <col min="7" max="7" width="13.421875" style="0" customWidth="1"/>
    <col min="8" max="8" width="10.00390625" style="0" customWidth="1"/>
    <col min="9" max="9" width="13.421875" style="0" customWidth="1"/>
    <col min="10" max="10" width="10.00390625" style="0" customWidth="1"/>
    <col min="11" max="11" width="13.421875" style="0" customWidth="1"/>
    <col min="12" max="12" width="10.00390625" style="0" customWidth="1"/>
    <col min="13" max="13" width="13.421875" style="0" customWidth="1"/>
    <col min="14" max="18" width="9.140625" style="0" hidden="1" customWidth="1"/>
  </cols>
  <sheetData>
    <row r="1" spans="1:18" ht="39.75" customHeight="1" thickBot="1">
      <c r="A1" s="21" t="s">
        <v>8</v>
      </c>
      <c r="B1" s="3"/>
      <c r="C1" s="8"/>
      <c r="D1" s="4"/>
      <c r="E1" s="14"/>
      <c r="F1" s="4"/>
      <c r="G1" s="14"/>
      <c r="H1" s="4"/>
      <c r="I1" s="14"/>
      <c r="J1" s="4"/>
      <c r="K1" s="548" t="s">
        <v>516</v>
      </c>
      <c r="L1" s="549"/>
      <c r="M1" s="14"/>
      <c r="N1" s="271"/>
      <c r="O1" s="331"/>
      <c r="P1" s="271"/>
      <c r="Q1" s="220"/>
      <c r="R1" s="221"/>
    </row>
    <row r="2" spans="1:18" ht="13.5" customHeight="1">
      <c r="A2" s="556" t="s">
        <v>9</v>
      </c>
      <c r="B2" s="6"/>
      <c r="C2" s="9"/>
      <c r="D2" s="7"/>
      <c r="E2" s="15"/>
      <c r="F2" s="7"/>
      <c r="G2" s="15"/>
      <c r="H2" s="7"/>
      <c r="I2" s="15"/>
      <c r="J2" s="7"/>
      <c r="K2" s="550" t="s">
        <v>49</v>
      </c>
      <c r="L2" s="551"/>
      <c r="M2" s="57"/>
      <c r="N2" s="271"/>
      <c r="O2" s="331"/>
      <c r="P2" s="271"/>
      <c r="Q2" s="222"/>
      <c r="R2" s="223"/>
    </row>
    <row r="3" spans="1:18" ht="13.5" customHeight="1">
      <c r="A3" s="7"/>
      <c r="B3" s="7"/>
      <c r="C3" s="7"/>
      <c r="D3" s="7"/>
      <c r="E3" s="7"/>
      <c r="F3" s="43"/>
      <c r="G3" s="43"/>
      <c r="H3" s="43"/>
      <c r="I3" s="43"/>
      <c r="J3" s="7"/>
      <c r="K3" s="552" t="s">
        <v>21</v>
      </c>
      <c r="L3" s="551" t="s">
        <v>655</v>
      </c>
      <c r="M3" s="58"/>
      <c r="N3" s="271"/>
      <c r="O3" s="331"/>
      <c r="P3" s="271"/>
      <c r="Q3" s="224"/>
      <c r="R3" s="224"/>
    </row>
    <row r="4" spans="1:18" ht="13.5" customHeight="1">
      <c r="A4" s="7"/>
      <c r="B4" s="7"/>
      <c r="C4" s="7"/>
      <c r="D4" s="7"/>
      <c r="E4" s="7"/>
      <c r="F4" s="43"/>
      <c r="G4" s="43"/>
      <c r="H4" s="43"/>
      <c r="I4" s="43"/>
      <c r="J4" s="7"/>
      <c r="K4" s="552" t="s">
        <v>21</v>
      </c>
      <c r="L4" s="551" t="s">
        <v>10</v>
      </c>
      <c r="M4" s="58"/>
      <c r="N4" s="271"/>
      <c r="O4" s="331"/>
      <c r="P4" s="271"/>
      <c r="Q4" s="224"/>
      <c r="R4" s="224"/>
    </row>
    <row r="5" spans="1:18" ht="13.5" customHeight="1">
      <c r="A5" s="7"/>
      <c r="B5" s="7"/>
      <c r="C5" s="7"/>
      <c r="D5" s="7"/>
      <c r="E5" s="43"/>
      <c r="F5" s="43"/>
      <c r="G5" s="43"/>
      <c r="H5" s="43"/>
      <c r="I5" s="43"/>
      <c r="J5" s="7"/>
      <c r="K5" s="552" t="s">
        <v>425</v>
      </c>
      <c r="L5" s="551" t="s">
        <v>11</v>
      </c>
      <c r="M5" s="58"/>
      <c r="N5" s="271"/>
      <c r="O5" s="331"/>
      <c r="P5" s="271"/>
      <c r="Q5" s="224"/>
      <c r="R5" s="224"/>
    </row>
    <row r="6" spans="2:18" ht="13.5" customHeight="1">
      <c r="B6" s="1"/>
      <c r="C6" s="10"/>
      <c r="D6" s="2"/>
      <c r="E6" s="43"/>
      <c r="F6" s="43"/>
      <c r="G6" s="43"/>
      <c r="H6" s="43"/>
      <c r="I6" s="43"/>
      <c r="J6" s="2"/>
      <c r="K6" s="553" t="s">
        <v>12</v>
      </c>
      <c r="L6" s="547" t="s">
        <v>656</v>
      </c>
      <c r="M6" s="61"/>
      <c r="N6" s="411"/>
      <c r="O6" s="416"/>
      <c r="P6" s="273"/>
      <c r="Q6" s="224"/>
      <c r="R6" s="224"/>
    </row>
    <row r="7" spans="1:18" ht="13.5" customHeight="1">
      <c r="A7" s="23"/>
      <c r="B7" s="23"/>
      <c r="C7" s="587"/>
      <c r="D7" s="2"/>
      <c r="E7" s="16"/>
      <c r="F7" s="288"/>
      <c r="G7" s="289"/>
      <c r="H7" s="288"/>
      <c r="I7" s="289"/>
      <c r="J7" s="288"/>
      <c r="K7" s="554" t="s">
        <v>214</v>
      </c>
      <c r="L7" s="555" t="s">
        <v>213</v>
      </c>
      <c r="M7" s="291"/>
      <c r="N7" s="411"/>
      <c r="O7" s="416"/>
      <c r="P7" s="273"/>
      <c r="Q7" s="225"/>
      <c r="R7" s="225"/>
    </row>
    <row r="8" spans="1:18" ht="13.5" customHeight="1">
      <c r="A8" s="23"/>
      <c r="B8" s="23"/>
      <c r="C8" s="587"/>
      <c r="D8" s="2"/>
      <c r="E8" s="16"/>
      <c r="F8" s="288"/>
      <c r="G8" s="289"/>
      <c r="H8" s="288"/>
      <c r="I8" s="289"/>
      <c r="J8" s="288"/>
      <c r="K8" s="178"/>
      <c r="L8" s="290"/>
      <c r="M8" s="291"/>
      <c r="N8" s="411"/>
      <c r="O8" s="416"/>
      <c r="P8" s="273"/>
      <c r="Q8" s="225"/>
      <c r="R8" s="225"/>
    </row>
    <row r="9" spans="1:18" ht="13.5" customHeight="1">
      <c r="A9" s="786" t="s">
        <v>734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411"/>
      <c r="O9" s="416"/>
      <c r="P9" s="273"/>
      <c r="Q9" s="225"/>
      <c r="R9" s="225"/>
    </row>
    <row r="10" spans="1:18" ht="39" customHeight="1">
      <c r="A10" s="659" t="s">
        <v>723</v>
      </c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411"/>
      <c r="O10" s="416"/>
      <c r="P10" s="273"/>
      <c r="Q10" s="225"/>
      <c r="R10" s="225"/>
    </row>
    <row r="11" spans="1:18" ht="16.5" customHeight="1">
      <c r="A11" s="670" t="s">
        <v>96</v>
      </c>
      <c r="B11" s="671"/>
      <c r="C11" s="671"/>
      <c r="D11" s="671"/>
      <c r="E11" s="672"/>
      <c r="F11" s="701" t="s">
        <v>48</v>
      </c>
      <c r="G11" s="702"/>
      <c r="H11" s="701" t="s">
        <v>45</v>
      </c>
      <c r="I11" s="702"/>
      <c r="J11" s="701" t="s">
        <v>46</v>
      </c>
      <c r="K11" s="702"/>
      <c r="L11" s="701" t="s">
        <v>47</v>
      </c>
      <c r="M11" s="702"/>
      <c r="N11" s="273"/>
      <c r="O11" s="416"/>
      <c r="P11" s="639" t="s">
        <v>731</v>
      </c>
      <c r="Q11" s="676"/>
      <c r="R11" s="677"/>
    </row>
    <row r="12" spans="1:18" ht="16.5" customHeight="1" thickBot="1">
      <c r="A12" s="663"/>
      <c r="B12" s="664"/>
      <c r="C12" s="664"/>
      <c r="D12" s="664"/>
      <c r="E12" s="665"/>
      <c r="F12" s="182" t="s">
        <v>37</v>
      </c>
      <c r="G12" s="183" t="s">
        <v>41</v>
      </c>
      <c r="H12" s="182" t="s">
        <v>37</v>
      </c>
      <c r="I12" s="183" t="s">
        <v>41</v>
      </c>
      <c r="J12" s="182" t="s">
        <v>37</v>
      </c>
      <c r="K12" s="183" t="s">
        <v>41</v>
      </c>
      <c r="L12" s="182" t="s">
        <v>37</v>
      </c>
      <c r="M12" s="183" t="s">
        <v>41</v>
      </c>
      <c r="N12" s="273"/>
      <c r="O12" s="416"/>
      <c r="P12" s="273"/>
      <c r="Q12" s="316"/>
      <c r="R12" s="491"/>
    </row>
    <row r="13" spans="1:18" ht="16.5" customHeight="1" thickTop="1">
      <c r="A13" s="913" t="s">
        <v>42</v>
      </c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5"/>
      <c r="N13" s="432">
        <v>38.1</v>
      </c>
      <c r="O13" s="416"/>
      <c r="P13" s="273">
        <v>32.2</v>
      </c>
      <c r="Q13" s="317"/>
      <c r="R13" s="492"/>
    </row>
    <row r="14" spans="1:18" ht="16.5" customHeight="1">
      <c r="A14" s="983" t="s">
        <v>394</v>
      </c>
      <c r="B14" s="984"/>
      <c r="C14" s="984"/>
      <c r="D14" s="984"/>
      <c r="E14" s="985"/>
      <c r="F14" s="52">
        <f>CEILING(N14*1.4,0.5)</f>
        <v>53.5</v>
      </c>
      <c r="G14" s="53">
        <f>CEILING(F14*O14,5)</f>
        <v>325</v>
      </c>
      <c r="H14" s="52">
        <f>CEILING(N14*1.3,0.5)</f>
        <v>50</v>
      </c>
      <c r="I14" s="53">
        <f>CEILING(H14*O14,5)</f>
        <v>300</v>
      </c>
      <c r="J14" s="52">
        <f>CEILING(N14*1.2,0.5)</f>
        <v>46</v>
      </c>
      <c r="K14" s="53">
        <f>CEILING(J14*O14,5)</f>
        <v>280</v>
      </c>
      <c r="L14" s="52">
        <f>CEILING(N14*1.15,0.5)</f>
        <v>44</v>
      </c>
      <c r="M14" s="53">
        <f>CEILING(L14*O14,5)</f>
        <v>265</v>
      </c>
      <c r="N14" s="273">
        <v>38.1</v>
      </c>
      <c r="O14" s="416">
        <v>6</v>
      </c>
      <c r="P14" s="273"/>
      <c r="Q14" s="235"/>
      <c r="R14" s="474"/>
    </row>
    <row r="15" spans="1:18" ht="16.5" customHeight="1">
      <c r="A15" s="706" t="s">
        <v>395</v>
      </c>
      <c r="B15" s="707"/>
      <c r="C15" s="707"/>
      <c r="D15" s="707"/>
      <c r="E15" s="708"/>
      <c r="F15" s="52">
        <f>CEILING(N15*1.4,0.5)</f>
        <v>53.5</v>
      </c>
      <c r="G15" s="53">
        <f aca="true" t="shared" si="0" ref="G15:G32">CEILING(F15*O15,5)</f>
        <v>645</v>
      </c>
      <c r="H15" s="52">
        <f>CEILING(N15*1.3,0.5)</f>
        <v>50</v>
      </c>
      <c r="I15" s="53">
        <f aca="true" t="shared" si="1" ref="I15:I32">CEILING(H15*O15,5)</f>
        <v>600</v>
      </c>
      <c r="J15" s="52">
        <f>CEILING(N15*1.2,0.5)</f>
        <v>46</v>
      </c>
      <c r="K15" s="53">
        <f aca="true" t="shared" si="2" ref="K15:K32">CEILING(J15*O15,5)</f>
        <v>555</v>
      </c>
      <c r="L15" s="52">
        <f>CEILING(N15*1.15,0.5)</f>
        <v>44</v>
      </c>
      <c r="M15" s="53">
        <f aca="true" t="shared" si="3" ref="M15:M32">CEILING(L15*O15,5)</f>
        <v>530</v>
      </c>
      <c r="N15" s="273">
        <f aca="true" t="shared" si="4" ref="N15:N32">N14</f>
        <v>38.1</v>
      </c>
      <c r="O15" s="416">
        <v>12</v>
      </c>
      <c r="P15" s="273"/>
      <c r="Q15" s="246"/>
      <c r="R15" s="488"/>
    </row>
    <row r="16" spans="1:18" ht="16.5" customHeight="1">
      <c r="A16" s="706" t="s">
        <v>396</v>
      </c>
      <c r="B16" s="707"/>
      <c r="C16" s="707"/>
      <c r="D16" s="707"/>
      <c r="E16" s="708"/>
      <c r="F16" s="52">
        <f aca="true" t="shared" si="5" ref="F16:F32">CEILING(N16*1.4,0.5)</f>
        <v>53.5</v>
      </c>
      <c r="G16" s="53">
        <f t="shared" si="0"/>
        <v>805</v>
      </c>
      <c r="H16" s="52">
        <f aca="true" t="shared" si="6" ref="H16:H32">CEILING(N16*1.3,0.5)</f>
        <v>50</v>
      </c>
      <c r="I16" s="53">
        <f t="shared" si="1"/>
        <v>750</v>
      </c>
      <c r="J16" s="52">
        <f aca="true" t="shared" si="7" ref="J16:J32">CEILING(N16*1.2,0.5)</f>
        <v>46</v>
      </c>
      <c r="K16" s="53">
        <f t="shared" si="2"/>
        <v>690</v>
      </c>
      <c r="L16" s="52">
        <f aca="true" t="shared" si="8" ref="L16:L32">CEILING(N16*1.15,0.5)</f>
        <v>44</v>
      </c>
      <c r="M16" s="53">
        <f t="shared" si="3"/>
        <v>660</v>
      </c>
      <c r="N16" s="273">
        <f t="shared" si="4"/>
        <v>38.1</v>
      </c>
      <c r="O16" s="416">
        <v>15</v>
      </c>
      <c r="P16" s="273"/>
      <c r="Q16" s="246"/>
      <c r="R16" s="488"/>
    </row>
    <row r="17" spans="1:18" ht="16.5" customHeight="1">
      <c r="A17" s="706" t="s">
        <v>397</v>
      </c>
      <c r="B17" s="707"/>
      <c r="C17" s="707"/>
      <c r="D17" s="707"/>
      <c r="E17" s="708"/>
      <c r="F17" s="52">
        <f t="shared" si="5"/>
        <v>53.5</v>
      </c>
      <c r="G17" s="53">
        <f t="shared" si="0"/>
        <v>965</v>
      </c>
      <c r="H17" s="52">
        <f t="shared" si="6"/>
        <v>50</v>
      </c>
      <c r="I17" s="53">
        <f t="shared" si="1"/>
        <v>900</v>
      </c>
      <c r="J17" s="52">
        <f t="shared" si="7"/>
        <v>46</v>
      </c>
      <c r="K17" s="53">
        <f t="shared" si="2"/>
        <v>830</v>
      </c>
      <c r="L17" s="52">
        <f t="shared" si="8"/>
        <v>44</v>
      </c>
      <c r="M17" s="53">
        <f t="shared" si="3"/>
        <v>795</v>
      </c>
      <c r="N17" s="273">
        <f t="shared" si="4"/>
        <v>38.1</v>
      </c>
      <c r="O17" s="416">
        <v>18</v>
      </c>
      <c r="P17" s="273"/>
      <c r="Q17" s="246"/>
      <c r="R17" s="488"/>
    </row>
    <row r="18" spans="1:18" ht="16.5" customHeight="1">
      <c r="A18" s="706" t="s">
        <v>398</v>
      </c>
      <c r="B18" s="707"/>
      <c r="C18" s="707"/>
      <c r="D18" s="707"/>
      <c r="E18" s="708"/>
      <c r="F18" s="52">
        <f t="shared" si="5"/>
        <v>53.5</v>
      </c>
      <c r="G18" s="53">
        <f t="shared" si="0"/>
        <v>1070</v>
      </c>
      <c r="H18" s="52">
        <f t="shared" si="6"/>
        <v>50</v>
      </c>
      <c r="I18" s="53">
        <f t="shared" si="1"/>
        <v>1000</v>
      </c>
      <c r="J18" s="52">
        <f t="shared" si="7"/>
        <v>46</v>
      </c>
      <c r="K18" s="53">
        <f t="shared" si="2"/>
        <v>920</v>
      </c>
      <c r="L18" s="52">
        <f t="shared" si="8"/>
        <v>44</v>
      </c>
      <c r="M18" s="53">
        <f t="shared" si="3"/>
        <v>880</v>
      </c>
      <c r="N18" s="273">
        <f t="shared" si="4"/>
        <v>38.1</v>
      </c>
      <c r="O18" s="416">
        <v>20</v>
      </c>
      <c r="P18" s="273"/>
      <c r="Q18" s="246"/>
      <c r="R18" s="488"/>
    </row>
    <row r="19" spans="1:18" ht="16.5" customHeight="1">
      <c r="A19" s="706" t="s">
        <v>399</v>
      </c>
      <c r="B19" s="707"/>
      <c r="C19" s="707"/>
      <c r="D19" s="707"/>
      <c r="E19" s="708"/>
      <c r="F19" s="52">
        <f t="shared" si="5"/>
        <v>53.5</v>
      </c>
      <c r="G19" s="53">
        <f t="shared" si="0"/>
        <v>1285</v>
      </c>
      <c r="H19" s="52">
        <f t="shared" si="6"/>
        <v>50</v>
      </c>
      <c r="I19" s="53">
        <f t="shared" si="1"/>
        <v>1200</v>
      </c>
      <c r="J19" s="52">
        <f t="shared" si="7"/>
        <v>46</v>
      </c>
      <c r="K19" s="53">
        <f t="shared" si="2"/>
        <v>1105</v>
      </c>
      <c r="L19" s="52">
        <f t="shared" si="8"/>
        <v>44</v>
      </c>
      <c r="M19" s="53">
        <f t="shared" si="3"/>
        <v>1060</v>
      </c>
      <c r="N19" s="273">
        <f t="shared" si="4"/>
        <v>38.1</v>
      </c>
      <c r="O19" s="416">
        <v>24</v>
      </c>
      <c r="P19" s="273"/>
      <c r="Q19" s="246"/>
      <c r="R19" s="488"/>
    </row>
    <row r="20" spans="1:18" ht="16.5" customHeight="1">
      <c r="A20" s="706" t="s">
        <v>400</v>
      </c>
      <c r="B20" s="707"/>
      <c r="C20" s="707"/>
      <c r="D20" s="707"/>
      <c r="E20" s="708"/>
      <c r="F20" s="52">
        <f t="shared" si="5"/>
        <v>53.5</v>
      </c>
      <c r="G20" s="53">
        <f t="shared" si="0"/>
        <v>1715</v>
      </c>
      <c r="H20" s="52">
        <f t="shared" si="6"/>
        <v>50</v>
      </c>
      <c r="I20" s="53">
        <f t="shared" si="1"/>
        <v>1600</v>
      </c>
      <c r="J20" s="52">
        <f t="shared" si="7"/>
        <v>46</v>
      </c>
      <c r="K20" s="53">
        <f t="shared" si="2"/>
        <v>1475</v>
      </c>
      <c r="L20" s="52">
        <f t="shared" si="8"/>
        <v>44</v>
      </c>
      <c r="M20" s="53">
        <f t="shared" si="3"/>
        <v>1410</v>
      </c>
      <c r="N20" s="273">
        <f t="shared" si="4"/>
        <v>38.1</v>
      </c>
      <c r="O20" s="416">
        <v>32</v>
      </c>
      <c r="P20" s="273"/>
      <c r="Q20" s="246"/>
      <c r="R20" s="488"/>
    </row>
    <row r="21" spans="1:18" ht="16.5" customHeight="1">
      <c r="A21" s="706" t="s">
        <v>401</v>
      </c>
      <c r="B21" s="707"/>
      <c r="C21" s="707"/>
      <c r="D21" s="707"/>
      <c r="E21" s="708"/>
      <c r="F21" s="52">
        <f t="shared" si="5"/>
        <v>53.5</v>
      </c>
      <c r="G21" s="53">
        <f t="shared" si="0"/>
        <v>1605</v>
      </c>
      <c r="H21" s="52">
        <f t="shared" si="6"/>
        <v>50</v>
      </c>
      <c r="I21" s="53">
        <f t="shared" si="1"/>
        <v>1500</v>
      </c>
      <c r="J21" s="52">
        <f t="shared" si="7"/>
        <v>46</v>
      </c>
      <c r="K21" s="53">
        <f t="shared" si="2"/>
        <v>1380</v>
      </c>
      <c r="L21" s="52">
        <f t="shared" si="8"/>
        <v>44</v>
      </c>
      <c r="M21" s="53">
        <f t="shared" si="3"/>
        <v>1320</v>
      </c>
      <c r="N21" s="273">
        <f t="shared" si="4"/>
        <v>38.1</v>
      </c>
      <c r="O21" s="416">
        <v>30</v>
      </c>
      <c r="P21" s="273"/>
      <c r="Q21" s="246"/>
      <c r="R21" s="488"/>
    </row>
    <row r="22" spans="1:18" ht="16.5" customHeight="1">
      <c r="A22" s="706" t="s">
        <v>402</v>
      </c>
      <c r="B22" s="707"/>
      <c r="C22" s="707"/>
      <c r="D22" s="707"/>
      <c r="E22" s="708"/>
      <c r="F22" s="52">
        <f t="shared" si="5"/>
        <v>53.5</v>
      </c>
      <c r="G22" s="53">
        <f t="shared" si="0"/>
        <v>2570</v>
      </c>
      <c r="H22" s="52">
        <f t="shared" si="6"/>
        <v>50</v>
      </c>
      <c r="I22" s="53">
        <f t="shared" si="1"/>
        <v>2400</v>
      </c>
      <c r="J22" s="52">
        <f t="shared" si="7"/>
        <v>46</v>
      </c>
      <c r="K22" s="53">
        <f t="shared" si="2"/>
        <v>2210</v>
      </c>
      <c r="L22" s="52">
        <f t="shared" si="8"/>
        <v>44</v>
      </c>
      <c r="M22" s="53">
        <f t="shared" si="3"/>
        <v>2115</v>
      </c>
      <c r="N22" s="273">
        <f t="shared" si="4"/>
        <v>38.1</v>
      </c>
      <c r="O22" s="416">
        <v>48</v>
      </c>
      <c r="P22" s="273"/>
      <c r="Q22" s="246"/>
      <c r="R22" s="488"/>
    </row>
    <row r="23" spans="1:18" ht="16.5" customHeight="1">
      <c r="A23" s="706" t="s">
        <v>403</v>
      </c>
      <c r="B23" s="707"/>
      <c r="C23" s="707"/>
      <c r="D23" s="707"/>
      <c r="E23" s="708"/>
      <c r="F23" s="52">
        <f t="shared" si="5"/>
        <v>53.5</v>
      </c>
      <c r="G23" s="53">
        <f t="shared" si="0"/>
        <v>3210</v>
      </c>
      <c r="H23" s="52">
        <f t="shared" si="6"/>
        <v>50</v>
      </c>
      <c r="I23" s="53">
        <f t="shared" si="1"/>
        <v>3000</v>
      </c>
      <c r="J23" s="52">
        <f t="shared" si="7"/>
        <v>46</v>
      </c>
      <c r="K23" s="53">
        <f t="shared" si="2"/>
        <v>2760</v>
      </c>
      <c r="L23" s="52">
        <f t="shared" si="8"/>
        <v>44</v>
      </c>
      <c r="M23" s="53">
        <f t="shared" si="3"/>
        <v>2640</v>
      </c>
      <c r="N23" s="273">
        <f t="shared" si="4"/>
        <v>38.1</v>
      </c>
      <c r="O23" s="416">
        <v>60</v>
      </c>
      <c r="P23" s="273"/>
      <c r="Q23" s="246"/>
      <c r="R23" s="488"/>
    </row>
    <row r="24" spans="1:18" ht="16.5" customHeight="1">
      <c r="A24" s="706" t="s">
        <v>404</v>
      </c>
      <c r="B24" s="707"/>
      <c r="C24" s="707"/>
      <c r="D24" s="707"/>
      <c r="E24" s="708"/>
      <c r="F24" s="52">
        <f t="shared" si="5"/>
        <v>53.5</v>
      </c>
      <c r="G24" s="53">
        <f t="shared" si="0"/>
        <v>4280</v>
      </c>
      <c r="H24" s="52">
        <f t="shared" si="6"/>
        <v>50</v>
      </c>
      <c r="I24" s="53">
        <f t="shared" si="1"/>
        <v>4000</v>
      </c>
      <c r="J24" s="52">
        <f t="shared" si="7"/>
        <v>46</v>
      </c>
      <c r="K24" s="53">
        <f t="shared" si="2"/>
        <v>3680</v>
      </c>
      <c r="L24" s="52">
        <f t="shared" si="8"/>
        <v>44</v>
      </c>
      <c r="M24" s="53">
        <f t="shared" si="3"/>
        <v>3520</v>
      </c>
      <c r="N24" s="273">
        <f t="shared" si="4"/>
        <v>38.1</v>
      </c>
      <c r="O24" s="416">
        <v>80</v>
      </c>
      <c r="P24" s="273"/>
      <c r="Q24" s="246"/>
      <c r="R24" s="488"/>
    </row>
    <row r="25" spans="1:18" ht="16.5" customHeight="1">
      <c r="A25" s="706" t="s">
        <v>405</v>
      </c>
      <c r="B25" s="707"/>
      <c r="C25" s="707"/>
      <c r="D25" s="707"/>
      <c r="E25" s="708"/>
      <c r="F25" s="52">
        <f t="shared" si="5"/>
        <v>53.5</v>
      </c>
      <c r="G25" s="53">
        <f t="shared" si="0"/>
        <v>5140</v>
      </c>
      <c r="H25" s="52">
        <f t="shared" si="6"/>
        <v>50</v>
      </c>
      <c r="I25" s="53">
        <f t="shared" si="1"/>
        <v>4800</v>
      </c>
      <c r="J25" s="52">
        <f t="shared" si="7"/>
        <v>46</v>
      </c>
      <c r="K25" s="53">
        <f t="shared" si="2"/>
        <v>4420</v>
      </c>
      <c r="L25" s="52">
        <f t="shared" si="8"/>
        <v>44</v>
      </c>
      <c r="M25" s="53">
        <f t="shared" si="3"/>
        <v>4225</v>
      </c>
      <c r="N25" s="273">
        <f t="shared" si="4"/>
        <v>38.1</v>
      </c>
      <c r="O25" s="416">
        <v>96</v>
      </c>
      <c r="P25" s="273"/>
      <c r="Q25" s="246"/>
      <c r="R25" s="488"/>
    </row>
    <row r="26" spans="1:18" ht="16.5" customHeight="1">
      <c r="A26" s="706" t="s">
        <v>406</v>
      </c>
      <c r="B26" s="707"/>
      <c r="C26" s="707"/>
      <c r="D26" s="707"/>
      <c r="E26" s="708"/>
      <c r="F26" s="52">
        <f t="shared" si="5"/>
        <v>53.5</v>
      </c>
      <c r="G26" s="53">
        <f t="shared" si="0"/>
        <v>6420</v>
      </c>
      <c r="H26" s="52">
        <f t="shared" si="6"/>
        <v>50</v>
      </c>
      <c r="I26" s="53">
        <f t="shared" si="1"/>
        <v>6000</v>
      </c>
      <c r="J26" s="52">
        <f t="shared" si="7"/>
        <v>46</v>
      </c>
      <c r="K26" s="53">
        <f t="shared" si="2"/>
        <v>5520</v>
      </c>
      <c r="L26" s="52">
        <f t="shared" si="8"/>
        <v>44</v>
      </c>
      <c r="M26" s="53">
        <f t="shared" si="3"/>
        <v>5280</v>
      </c>
      <c r="N26" s="273">
        <f t="shared" si="4"/>
        <v>38.1</v>
      </c>
      <c r="O26" s="416">
        <v>120</v>
      </c>
      <c r="P26" s="273"/>
      <c r="Q26" s="246"/>
      <c r="R26" s="488"/>
    </row>
    <row r="27" spans="1:18" ht="16.5" customHeight="1">
      <c r="A27" s="706" t="s">
        <v>407</v>
      </c>
      <c r="B27" s="707"/>
      <c r="C27" s="707"/>
      <c r="D27" s="707"/>
      <c r="E27" s="708"/>
      <c r="F27" s="52">
        <f t="shared" si="5"/>
        <v>53.5</v>
      </c>
      <c r="G27" s="53">
        <f t="shared" si="0"/>
        <v>8025</v>
      </c>
      <c r="H27" s="52">
        <f t="shared" si="6"/>
        <v>50</v>
      </c>
      <c r="I27" s="53">
        <f t="shared" si="1"/>
        <v>7500</v>
      </c>
      <c r="J27" s="52">
        <f t="shared" si="7"/>
        <v>46</v>
      </c>
      <c r="K27" s="53">
        <f t="shared" si="2"/>
        <v>6900</v>
      </c>
      <c r="L27" s="52">
        <f t="shared" si="8"/>
        <v>44</v>
      </c>
      <c r="M27" s="53">
        <f t="shared" si="3"/>
        <v>6600</v>
      </c>
      <c r="N27" s="273">
        <f t="shared" si="4"/>
        <v>38.1</v>
      </c>
      <c r="O27" s="416">
        <v>150</v>
      </c>
      <c r="P27" s="273"/>
      <c r="Q27" s="246"/>
      <c r="R27" s="488"/>
    </row>
    <row r="28" spans="1:18" ht="16.5" customHeight="1">
      <c r="A28" s="706" t="s">
        <v>408</v>
      </c>
      <c r="B28" s="707"/>
      <c r="C28" s="707"/>
      <c r="D28" s="707"/>
      <c r="E28" s="708"/>
      <c r="F28" s="52">
        <f t="shared" si="5"/>
        <v>53.5</v>
      </c>
      <c r="G28" s="53">
        <f t="shared" si="0"/>
        <v>10700</v>
      </c>
      <c r="H28" s="52">
        <f t="shared" si="6"/>
        <v>50</v>
      </c>
      <c r="I28" s="53">
        <f t="shared" si="1"/>
        <v>10000</v>
      </c>
      <c r="J28" s="52">
        <f t="shared" si="7"/>
        <v>46</v>
      </c>
      <c r="K28" s="53">
        <f t="shared" si="2"/>
        <v>9200</v>
      </c>
      <c r="L28" s="52">
        <f t="shared" si="8"/>
        <v>44</v>
      </c>
      <c r="M28" s="53">
        <f t="shared" si="3"/>
        <v>8800</v>
      </c>
      <c r="N28" s="273">
        <f t="shared" si="4"/>
        <v>38.1</v>
      </c>
      <c r="O28" s="416">
        <v>200</v>
      </c>
      <c r="P28" s="273"/>
      <c r="Q28" s="246"/>
      <c r="R28" s="488"/>
    </row>
    <row r="29" spans="1:18" ht="16.5" customHeight="1">
      <c r="A29" s="706" t="s">
        <v>409</v>
      </c>
      <c r="B29" s="707"/>
      <c r="C29" s="707"/>
      <c r="D29" s="707"/>
      <c r="E29" s="708"/>
      <c r="F29" s="52">
        <f t="shared" si="5"/>
        <v>53.5</v>
      </c>
      <c r="G29" s="53">
        <f t="shared" si="0"/>
        <v>12040</v>
      </c>
      <c r="H29" s="52">
        <f t="shared" si="6"/>
        <v>50</v>
      </c>
      <c r="I29" s="53">
        <f t="shared" si="1"/>
        <v>11250</v>
      </c>
      <c r="J29" s="52">
        <f t="shared" si="7"/>
        <v>46</v>
      </c>
      <c r="K29" s="53">
        <f t="shared" si="2"/>
        <v>10350</v>
      </c>
      <c r="L29" s="52">
        <f t="shared" si="8"/>
        <v>44</v>
      </c>
      <c r="M29" s="53">
        <f t="shared" si="3"/>
        <v>9900</v>
      </c>
      <c r="N29" s="273">
        <f t="shared" si="4"/>
        <v>38.1</v>
      </c>
      <c r="O29" s="416">
        <v>225</v>
      </c>
      <c r="P29" s="273"/>
      <c r="Q29" s="246"/>
      <c r="R29" s="488"/>
    </row>
    <row r="30" spans="1:18" ht="16.5" customHeight="1">
      <c r="A30" s="706" t="s">
        <v>410</v>
      </c>
      <c r="B30" s="707"/>
      <c r="C30" s="707"/>
      <c r="D30" s="707"/>
      <c r="E30" s="708"/>
      <c r="F30" s="52">
        <f t="shared" si="5"/>
        <v>53.5</v>
      </c>
      <c r="G30" s="53">
        <f t="shared" si="0"/>
        <v>16050</v>
      </c>
      <c r="H30" s="52">
        <f t="shared" si="6"/>
        <v>50</v>
      </c>
      <c r="I30" s="53">
        <f t="shared" si="1"/>
        <v>15000</v>
      </c>
      <c r="J30" s="52">
        <f t="shared" si="7"/>
        <v>46</v>
      </c>
      <c r="K30" s="53">
        <f t="shared" si="2"/>
        <v>13800</v>
      </c>
      <c r="L30" s="52">
        <f t="shared" si="8"/>
        <v>44</v>
      </c>
      <c r="M30" s="53">
        <f t="shared" si="3"/>
        <v>13200</v>
      </c>
      <c r="N30" s="273">
        <f t="shared" si="4"/>
        <v>38.1</v>
      </c>
      <c r="O30" s="416">
        <v>300</v>
      </c>
      <c r="P30" s="273"/>
      <c r="Q30" s="246"/>
      <c r="R30" s="488"/>
    </row>
    <row r="31" spans="1:18" ht="16.5" customHeight="1">
      <c r="A31" s="706" t="s">
        <v>411</v>
      </c>
      <c r="B31" s="707"/>
      <c r="C31" s="707"/>
      <c r="D31" s="707"/>
      <c r="E31" s="708"/>
      <c r="F31" s="52">
        <f t="shared" si="5"/>
        <v>53.5</v>
      </c>
      <c r="G31" s="53">
        <f t="shared" si="0"/>
        <v>21400</v>
      </c>
      <c r="H31" s="52">
        <f t="shared" si="6"/>
        <v>50</v>
      </c>
      <c r="I31" s="53">
        <f t="shared" si="1"/>
        <v>20000</v>
      </c>
      <c r="J31" s="52">
        <f t="shared" si="7"/>
        <v>46</v>
      </c>
      <c r="K31" s="53">
        <f t="shared" si="2"/>
        <v>18400</v>
      </c>
      <c r="L31" s="52">
        <f t="shared" si="8"/>
        <v>44</v>
      </c>
      <c r="M31" s="53">
        <f t="shared" si="3"/>
        <v>17600</v>
      </c>
      <c r="N31" s="273">
        <f t="shared" si="4"/>
        <v>38.1</v>
      </c>
      <c r="O31" s="416">
        <v>400</v>
      </c>
      <c r="P31" s="273"/>
      <c r="Q31" s="246"/>
      <c r="R31" s="488"/>
    </row>
    <row r="32" spans="1:18" ht="16.5" customHeight="1" thickBot="1">
      <c r="A32" s="753" t="s">
        <v>648</v>
      </c>
      <c r="B32" s="754"/>
      <c r="C32" s="754"/>
      <c r="D32" s="754"/>
      <c r="E32" s="755"/>
      <c r="F32" s="52">
        <f t="shared" si="5"/>
        <v>53.5</v>
      </c>
      <c r="G32" s="51">
        <f t="shared" si="0"/>
        <v>32100</v>
      </c>
      <c r="H32" s="52">
        <f t="shared" si="6"/>
        <v>50</v>
      </c>
      <c r="I32" s="51">
        <f t="shared" si="1"/>
        <v>30000</v>
      </c>
      <c r="J32" s="52">
        <f t="shared" si="7"/>
        <v>46</v>
      </c>
      <c r="K32" s="51">
        <f t="shared" si="2"/>
        <v>27600</v>
      </c>
      <c r="L32" s="52">
        <f t="shared" si="8"/>
        <v>44</v>
      </c>
      <c r="M32" s="51">
        <f t="shared" si="3"/>
        <v>26400</v>
      </c>
      <c r="N32" s="273">
        <f t="shared" si="4"/>
        <v>38.1</v>
      </c>
      <c r="O32" s="416">
        <v>600</v>
      </c>
      <c r="P32" s="273"/>
      <c r="Q32" s="236"/>
      <c r="R32" s="475"/>
    </row>
    <row r="33" spans="1:18" ht="16.5" customHeight="1" thickTop="1">
      <c r="A33" s="913" t="s">
        <v>43</v>
      </c>
      <c r="B33" s="914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5"/>
      <c r="N33" s="432">
        <v>55.94</v>
      </c>
      <c r="O33" s="416"/>
      <c r="P33" s="273">
        <v>47</v>
      </c>
      <c r="Q33" s="225"/>
      <c r="R33" s="225"/>
    </row>
    <row r="34" spans="1:18" ht="16.5" customHeight="1">
      <c r="A34" s="983" t="s">
        <v>412</v>
      </c>
      <c r="B34" s="984"/>
      <c r="C34" s="984"/>
      <c r="D34" s="984"/>
      <c r="E34" s="985"/>
      <c r="F34" s="52">
        <f>CEILING(N34*1.4,0.5)</f>
        <v>78.5</v>
      </c>
      <c r="G34" s="53">
        <f aca="true" t="shared" si="9" ref="G34:G52">CEILING(F34*O34,5)</f>
        <v>475</v>
      </c>
      <c r="H34" s="52">
        <f>CEILING(N34*1.3,0.5)</f>
        <v>73</v>
      </c>
      <c r="I34" s="53">
        <f>CEILING(H34*O34,5)</f>
        <v>440</v>
      </c>
      <c r="J34" s="52">
        <f>CEILING(N34*1.2,0.5)</f>
        <v>67.5</v>
      </c>
      <c r="K34" s="53">
        <f>CEILING(J34*O34,5)</f>
        <v>405</v>
      </c>
      <c r="L34" s="52">
        <f>CEILING(N34*1.15,0.5)</f>
        <v>64.5</v>
      </c>
      <c r="M34" s="53">
        <f>CEILING(L34*O34,5)</f>
        <v>390</v>
      </c>
      <c r="N34" s="273">
        <f>N33</f>
        <v>55.94</v>
      </c>
      <c r="O34" s="416">
        <v>6</v>
      </c>
      <c r="P34" s="273"/>
      <c r="Q34" s="235"/>
      <c r="R34" s="474"/>
    </row>
    <row r="35" spans="1:18" ht="16.5" customHeight="1">
      <c r="A35" s="706" t="s">
        <v>413</v>
      </c>
      <c r="B35" s="707"/>
      <c r="C35" s="707"/>
      <c r="D35" s="707"/>
      <c r="E35" s="708"/>
      <c r="F35" s="52">
        <f>CEILING(N35*1.4,0.5)</f>
        <v>78.5</v>
      </c>
      <c r="G35" s="53">
        <f t="shared" si="9"/>
        <v>945</v>
      </c>
      <c r="H35" s="52">
        <f>CEILING(N35*1.3,0.5)</f>
        <v>73</v>
      </c>
      <c r="I35" s="53">
        <f aca="true" t="shared" si="10" ref="I35:I52">CEILING(H35*O35,5)</f>
        <v>880</v>
      </c>
      <c r="J35" s="52">
        <f>CEILING(N35*1.2,0.5)</f>
        <v>67.5</v>
      </c>
      <c r="K35" s="53">
        <f aca="true" t="shared" si="11" ref="K35:K52">CEILING(J35*O35,5)</f>
        <v>810</v>
      </c>
      <c r="L35" s="52">
        <f>CEILING(N35*1.15,0.5)</f>
        <v>64.5</v>
      </c>
      <c r="M35" s="53">
        <f aca="true" t="shared" si="12" ref="M35:M52">CEILING(L35*O35,5)</f>
        <v>775</v>
      </c>
      <c r="N35" s="273">
        <f aca="true" t="shared" si="13" ref="N35:N52">N34</f>
        <v>55.94</v>
      </c>
      <c r="O35" s="416">
        <v>12</v>
      </c>
      <c r="P35" s="273"/>
      <c r="Q35" s="246"/>
      <c r="R35" s="474"/>
    </row>
    <row r="36" spans="1:18" ht="16.5" customHeight="1">
      <c r="A36" s="706" t="s">
        <v>414</v>
      </c>
      <c r="B36" s="707"/>
      <c r="C36" s="707"/>
      <c r="D36" s="707"/>
      <c r="E36" s="708"/>
      <c r="F36" s="52">
        <f aca="true" t="shared" si="14" ref="F36:F52">CEILING(N36*1.4,0.5)</f>
        <v>78.5</v>
      </c>
      <c r="G36" s="53">
        <f t="shared" si="9"/>
        <v>1180</v>
      </c>
      <c r="H36" s="52">
        <f aca="true" t="shared" si="15" ref="H36:H52">CEILING(N36*1.3,0.5)</f>
        <v>73</v>
      </c>
      <c r="I36" s="53">
        <f t="shared" si="10"/>
        <v>1095</v>
      </c>
      <c r="J36" s="52">
        <f aca="true" t="shared" si="16" ref="J36:J52">CEILING(N36*1.2,0.5)</f>
        <v>67.5</v>
      </c>
      <c r="K36" s="53">
        <f t="shared" si="11"/>
        <v>1015</v>
      </c>
      <c r="L36" s="52">
        <f aca="true" t="shared" si="17" ref="L36:L52">CEILING(N36*1.15,0.5)</f>
        <v>64.5</v>
      </c>
      <c r="M36" s="53">
        <f t="shared" si="12"/>
        <v>970</v>
      </c>
      <c r="N36" s="273">
        <f t="shared" si="13"/>
        <v>55.94</v>
      </c>
      <c r="O36" s="416">
        <v>15</v>
      </c>
      <c r="P36" s="273"/>
      <c r="Q36" s="246"/>
      <c r="R36" s="474"/>
    </row>
    <row r="37" spans="1:18" ht="16.5" customHeight="1">
      <c r="A37" s="706" t="s">
        <v>415</v>
      </c>
      <c r="B37" s="707"/>
      <c r="C37" s="707"/>
      <c r="D37" s="707"/>
      <c r="E37" s="708"/>
      <c r="F37" s="52">
        <f t="shared" si="14"/>
        <v>78.5</v>
      </c>
      <c r="G37" s="53">
        <f t="shared" si="9"/>
        <v>1415</v>
      </c>
      <c r="H37" s="52">
        <f t="shared" si="15"/>
        <v>73</v>
      </c>
      <c r="I37" s="53">
        <f t="shared" si="10"/>
        <v>1315</v>
      </c>
      <c r="J37" s="52">
        <f t="shared" si="16"/>
        <v>67.5</v>
      </c>
      <c r="K37" s="53">
        <f t="shared" si="11"/>
        <v>1215</v>
      </c>
      <c r="L37" s="52">
        <f t="shared" si="17"/>
        <v>64.5</v>
      </c>
      <c r="M37" s="53">
        <f t="shared" si="12"/>
        <v>1165</v>
      </c>
      <c r="N37" s="273">
        <f t="shared" si="13"/>
        <v>55.94</v>
      </c>
      <c r="O37" s="416">
        <v>18</v>
      </c>
      <c r="P37" s="273"/>
      <c r="Q37" s="246"/>
      <c r="R37" s="474"/>
    </row>
    <row r="38" spans="1:18" ht="16.5" customHeight="1">
      <c r="A38" s="706" t="s">
        <v>416</v>
      </c>
      <c r="B38" s="707"/>
      <c r="C38" s="707"/>
      <c r="D38" s="707"/>
      <c r="E38" s="708"/>
      <c r="F38" s="52">
        <f t="shared" si="14"/>
        <v>78.5</v>
      </c>
      <c r="G38" s="53">
        <f t="shared" si="9"/>
        <v>1570</v>
      </c>
      <c r="H38" s="52">
        <f t="shared" si="15"/>
        <v>73</v>
      </c>
      <c r="I38" s="53">
        <f t="shared" si="10"/>
        <v>1460</v>
      </c>
      <c r="J38" s="52">
        <f t="shared" si="16"/>
        <v>67.5</v>
      </c>
      <c r="K38" s="53">
        <f t="shared" si="11"/>
        <v>1350</v>
      </c>
      <c r="L38" s="52">
        <f t="shared" si="17"/>
        <v>64.5</v>
      </c>
      <c r="M38" s="53">
        <f t="shared" si="12"/>
        <v>1290</v>
      </c>
      <c r="N38" s="273">
        <f t="shared" si="13"/>
        <v>55.94</v>
      </c>
      <c r="O38" s="416">
        <v>20</v>
      </c>
      <c r="P38" s="273"/>
      <c r="Q38" s="246"/>
      <c r="R38" s="474"/>
    </row>
    <row r="39" spans="1:18" ht="16.5" customHeight="1">
      <c r="A39" s="706" t="s">
        <v>417</v>
      </c>
      <c r="B39" s="707"/>
      <c r="C39" s="707"/>
      <c r="D39" s="707"/>
      <c r="E39" s="708"/>
      <c r="F39" s="52">
        <f t="shared" si="14"/>
        <v>78.5</v>
      </c>
      <c r="G39" s="53">
        <f t="shared" si="9"/>
        <v>1885</v>
      </c>
      <c r="H39" s="52">
        <f t="shared" si="15"/>
        <v>73</v>
      </c>
      <c r="I39" s="53">
        <f t="shared" si="10"/>
        <v>1755</v>
      </c>
      <c r="J39" s="52">
        <f t="shared" si="16"/>
        <v>67.5</v>
      </c>
      <c r="K39" s="53">
        <f t="shared" si="11"/>
        <v>1620</v>
      </c>
      <c r="L39" s="52">
        <f t="shared" si="17"/>
        <v>64.5</v>
      </c>
      <c r="M39" s="53">
        <f t="shared" si="12"/>
        <v>1550</v>
      </c>
      <c r="N39" s="273">
        <f t="shared" si="13"/>
        <v>55.94</v>
      </c>
      <c r="O39" s="416">
        <v>24</v>
      </c>
      <c r="P39" s="273"/>
      <c r="Q39" s="246"/>
      <c r="R39" s="474"/>
    </row>
    <row r="40" spans="1:18" ht="16.5" customHeight="1">
      <c r="A40" s="706" t="s">
        <v>418</v>
      </c>
      <c r="B40" s="707"/>
      <c r="C40" s="707"/>
      <c r="D40" s="707"/>
      <c r="E40" s="708"/>
      <c r="F40" s="52">
        <f t="shared" si="14"/>
        <v>78.5</v>
      </c>
      <c r="G40" s="53">
        <f t="shared" si="9"/>
        <v>2515</v>
      </c>
      <c r="H40" s="52">
        <f t="shared" si="15"/>
        <v>73</v>
      </c>
      <c r="I40" s="53">
        <f t="shared" si="10"/>
        <v>2340</v>
      </c>
      <c r="J40" s="52">
        <f t="shared" si="16"/>
        <v>67.5</v>
      </c>
      <c r="K40" s="53">
        <f t="shared" si="11"/>
        <v>2160</v>
      </c>
      <c r="L40" s="52">
        <f t="shared" si="17"/>
        <v>64.5</v>
      </c>
      <c r="M40" s="53">
        <f t="shared" si="12"/>
        <v>2065</v>
      </c>
      <c r="N40" s="273">
        <f t="shared" si="13"/>
        <v>55.94</v>
      </c>
      <c r="O40" s="416">
        <v>32</v>
      </c>
      <c r="P40" s="273"/>
      <c r="Q40" s="246"/>
      <c r="R40" s="474"/>
    </row>
    <row r="41" spans="1:18" ht="16.5" customHeight="1">
      <c r="A41" s="706" t="s">
        <v>419</v>
      </c>
      <c r="B41" s="707"/>
      <c r="C41" s="707"/>
      <c r="D41" s="707"/>
      <c r="E41" s="708"/>
      <c r="F41" s="52">
        <f t="shared" si="14"/>
        <v>78.5</v>
      </c>
      <c r="G41" s="53">
        <f t="shared" si="9"/>
        <v>2355</v>
      </c>
      <c r="H41" s="52">
        <f t="shared" si="15"/>
        <v>73</v>
      </c>
      <c r="I41" s="53">
        <f t="shared" si="10"/>
        <v>2190</v>
      </c>
      <c r="J41" s="52">
        <f t="shared" si="16"/>
        <v>67.5</v>
      </c>
      <c r="K41" s="53">
        <f t="shared" si="11"/>
        <v>2025</v>
      </c>
      <c r="L41" s="52">
        <f t="shared" si="17"/>
        <v>64.5</v>
      </c>
      <c r="M41" s="53">
        <f t="shared" si="12"/>
        <v>1935</v>
      </c>
      <c r="N41" s="273">
        <f t="shared" si="13"/>
        <v>55.94</v>
      </c>
      <c r="O41" s="416">
        <v>30</v>
      </c>
      <c r="P41" s="273"/>
      <c r="Q41" s="246"/>
      <c r="R41" s="474"/>
    </row>
    <row r="42" spans="1:18" ht="16.5" customHeight="1">
      <c r="A42" s="706" t="s">
        <v>420</v>
      </c>
      <c r="B42" s="707"/>
      <c r="C42" s="707"/>
      <c r="D42" s="707"/>
      <c r="E42" s="708"/>
      <c r="F42" s="52">
        <f t="shared" si="14"/>
        <v>78.5</v>
      </c>
      <c r="G42" s="53">
        <f t="shared" si="9"/>
        <v>3770</v>
      </c>
      <c r="H42" s="52">
        <f t="shared" si="15"/>
        <v>73</v>
      </c>
      <c r="I42" s="53">
        <f t="shared" si="10"/>
        <v>3505</v>
      </c>
      <c r="J42" s="52">
        <f t="shared" si="16"/>
        <v>67.5</v>
      </c>
      <c r="K42" s="53">
        <f t="shared" si="11"/>
        <v>3240</v>
      </c>
      <c r="L42" s="52">
        <f t="shared" si="17"/>
        <v>64.5</v>
      </c>
      <c r="M42" s="53">
        <f t="shared" si="12"/>
        <v>3100</v>
      </c>
      <c r="N42" s="273">
        <f t="shared" si="13"/>
        <v>55.94</v>
      </c>
      <c r="O42" s="416">
        <v>48</v>
      </c>
      <c r="P42" s="273"/>
      <c r="Q42" s="246"/>
      <c r="R42" s="474"/>
    </row>
    <row r="43" spans="1:18" ht="16.5" customHeight="1">
      <c r="A43" s="706" t="s">
        <v>421</v>
      </c>
      <c r="B43" s="707"/>
      <c r="C43" s="707"/>
      <c r="D43" s="707"/>
      <c r="E43" s="708"/>
      <c r="F43" s="52">
        <f t="shared" si="14"/>
        <v>78.5</v>
      </c>
      <c r="G43" s="53">
        <f t="shared" si="9"/>
        <v>4710</v>
      </c>
      <c r="H43" s="52">
        <f t="shared" si="15"/>
        <v>73</v>
      </c>
      <c r="I43" s="53">
        <f t="shared" si="10"/>
        <v>4380</v>
      </c>
      <c r="J43" s="52">
        <f t="shared" si="16"/>
        <v>67.5</v>
      </c>
      <c r="K43" s="53">
        <f t="shared" si="11"/>
        <v>4050</v>
      </c>
      <c r="L43" s="52">
        <f t="shared" si="17"/>
        <v>64.5</v>
      </c>
      <c r="M43" s="53">
        <f t="shared" si="12"/>
        <v>3870</v>
      </c>
      <c r="N43" s="273">
        <f t="shared" si="13"/>
        <v>55.94</v>
      </c>
      <c r="O43" s="416">
        <v>60</v>
      </c>
      <c r="P43" s="273"/>
      <c r="Q43" s="246"/>
      <c r="R43" s="474"/>
    </row>
    <row r="44" spans="1:18" ht="16.5" customHeight="1">
      <c r="A44" s="706" t="s">
        <v>422</v>
      </c>
      <c r="B44" s="707"/>
      <c r="C44" s="707"/>
      <c r="D44" s="707"/>
      <c r="E44" s="708"/>
      <c r="F44" s="52">
        <f t="shared" si="14"/>
        <v>78.5</v>
      </c>
      <c r="G44" s="53">
        <f t="shared" si="9"/>
        <v>6280</v>
      </c>
      <c r="H44" s="52">
        <f t="shared" si="15"/>
        <v>73</v>
      </c>
      <c r="I44" s="53">
        <f t="shared" si="10"/>
        <v>5840</v>
      </c>
      <c r="J44" s="52">
        <f t="shared" si="16"/>
        <v>67.5</v>
      </c>
      <c r="K44" s="53">
        <f t="shared" si="11"/>
        <v>5400</v>
      </c>
      <c r="L44" s="52">
        <f t="shared" si="17"/>
        <v>64.5</v>
      </c>
      <c r="M44" s="53">
        <f t="shared" si="12"/>
        <v>5160</v>
      </c>
      <c r="N44" s="273">
        <f t="shared" si="13"/>
        <v>55.94</v>
      </c>
      <c r="O44" s="416">
        <v>80</v>
      </c>
      <c r="P44" s="273"/>
      <c r="Q44" s="246"/>
      <c r="R44" s="474"/>
    </row>
    <row r="45" spans="1:18" ht="16.5" customHeight="1">
      <c r="A45" s="706" t="s">
        <v>423</v>
      </c>
      <c r="B45" s="707"/>
      <c r="C45" s="707"/>
      <c r="D45" s="707"/>
      <c r="E45" s="708"/>
      <c r="F45" s="52">
        <f t="shared" si="14"/>
        <v>78.5</v>
      </c>
      <c r="G45" s="53">
        <f t="shared" si="9"/>
        <v>7540</v>
      </c>
      <c r="H45" s="52">
        <f t="shared" si="15"/>
        <v>73</v>
      </c>
      <c r="I45" s="53">
        <f t="shared" si="10"/>
        <v>7010</v>
      </c>
      <c r="J45" s="52">
        <f t="shared" si="16"/>
        <v>67.5</v>
      </c>
      <c r="K45" s="53">
        <f t="shared" si="11"/>
        <v>6480</v>
      </c>
      <c r="L45" s="52">
        <f t="shared" si="17"/>
        <v>64.5</v>
      </c>
      <c r="M45" s="53">
        <f t="shared" si="12"/>
        <v>6195</v>
      </c>
      <c r="N45" s="273">
        <f t="shared" si="13"/>
        <v>55.94</v>
      </c>
      <c r="O45" s="416">
        <v>96</v>
      </c>
      <c r="P45" s="273"/>
      <c r="Q45" s="246"/>
      <c r="R45" s="474"/>
    </row>
    <row r="46" spans="1:18" ht="16.5" customHeight="1">
      <c r="A46" s="706" t="s">
        <v>424</v>
      </c>
      <c r="B46" s="707"/>
      <c r="C46" s="707"/>
      <c r="D46" s="707"/>
      <c r="E46" s="708"/>
      <c r="F46" s="52">
        <f t="shared" si="14"/>
        <v>78.5</v>
      </c>
      <c r="G46" s="53">
        <f t="shared" si="9"/>
        <v>9420</v>
      </c>
      <c r="H46" s="52">
        <f t="shared" si="15"/>
        <v>73</v>
      </c>
      <c r="I46" s="53">
        <f t="shared" si="10"/>
        <v>8760</v>
      </c>
      <c r="J46" s="52">
        <f t="shared" si="16"/>
        <v>67.5</v>
      </c>
      <c r="K46" s="53">
        <f t="shared" si="11"/>
        <v>8100</v>
      </c>
      <c r="L46" s="52">
        <f t="shared" si="17"/>
        <v>64.5</v>
      </c>
      <c r="M46" s="53">
        <f t="shared" si="12"/>
        <v>7740</v>
      </c>
      <c r="N46" s="273">
        <f t="shared" si="13"/>
        <v>55.94</v>
      </c>
      <c r="O46" s="416">
        <v>120</v>
      </c>
      <c r="P46" s="273"/>
      <c r="Q46" s="246"/>
      <c r="R46" s="488"/>
    </row>
    <row r="47" spans="1:18" ht="16.5" customHeight="1">
      <c r="A47" s="706" t="s">
        <v>649</v>
      </c>
      <c r="B47" s="707"/>
      <c r="C47" s="707"/>
      <c r="D47" s="707"/>
      <c r="E47" s="708"/>
      <c r="F47" s="52">
        <f t="shared" si="14"/>
        <v>78.5</v>
      </c>
      <c r="G47" s="53">
        <f t="shared" si="9"/>
        <v>11775</v>
      </c>
      <c r="H47" s="52">
        <f t="shared" si="15"/>
        <v>73</v>
      </c>
      <c r="I47" s="53">
        <f t="shared" si="10"/>
        <v>10950</v>
      </c>
      <c r="J47" s="52">
        <f t="shared" si="16"/>
        <v>67.5</v>
      </c>
      <c r="K47" s="53">
        <f t="shared" si="11"/>
        <v>10125</v>
      </c>
      <c r="L47" s="52">
        <f t="shared" si="17"/>
        <v>64.5</v>
      </c>
      <c r="M47" s="53">
        <f t="shared" si="12"/>
        <v>9675</v>
      </c>
      <c r="N47" s="273">
        <f t="shared" si="13"/>
        <v>55.94</v>
      </c>
      <c r="O47" s="416">
        <v>150</v>
      </c>
      <c r="P47" s="273"/>
      <c r="Q47" s="246"/>
      <c r="R47" s="488"/>
    </row>
    <row r="48" spans="1:18" ht="16.5" customHeight="1">
      <c r="A48" s="706" t="s">
        <v>650</v>
      </c>
      <c r="B48" s="707"/>
      <c r="C48" s="707"/>
      <c r="D48" s="707"/>
      <c r="E48" s="708"/>
      <c r="F48" s="52">
        <f t="shared" si="14"/>
        <v>78.5</v>
      </c>
      <c r="G48" s="53">
        <f t="shared" si="9"/>
        <v>15700</v>
      </c>
      <c r="H48" s="52">
        <f t="shared" si="15"/>
        <v>73</v>
      </c>
      <c r="I48" s="53">
        <f t="shared" si="10"/>
        <v>14600</v>
      </c>
      <c r="J48" s="52">
        <f t="shared" si="16"/>
        <v>67.5</v>
      </c>
      <c r="K48" s="53">
        <f t="shared" si="11"/>
        <v>13500</v>
      </c>
      <c r="L48" s="52">
        <f t="shared" si="17"/>
        <v>64.5</v>
      </c>
      <c r="M48" s="53">
        <f t="shared" si="12"/>
        <v>12900</v>
      </c>
      <c r="N48" s="273">
        <f t="shared" si="13"/>
        <v>55.94</v>
      </c>
      <c r="O48" s="416">
        <v>200</v>
      </c>
      <c r="P48" s="273"/>
      <c r="Q48" s="246"/>
      <c r="R48" s="488"/>
    </row>
    <row r="49" spans="1:18" ht="16.5" customHeight="1">
      <c r="A49" s="706" t="s">
        <v>651</v>
      </c>
      <c r="B49" s="707"/>
      <c r="C49" s="707"/>
      <c r="D49" s="707"/>
      <c r="E49" s="708"/>
      <c r="F49" s="52">
        <f t="shared" si="14"/>
        <v>78.5</v>
      </c>
      <c r="G49" s="53">
        <f t="shared" si="9"/>
        <v>17665</v>
      </c>
      <c r="H49" s="52">
        <f t="shared" si="15"/>
        <v>73</v>
      </c>
      <c r="I49" s="53">
        <f t="shared" si="10"/>
        <v>16425</v>
      </c>
      <c r="J49" s="52">
        <f t="shared" si="16"/>
        <v>67.5</v>
      </c>
      <c r="K49" s="53">
        <f t="shared" si="11"/>
        <v>15190</v>
      </c>
      <c r="L49" s="52">
        <f t="shared" si="17"/>
        <v>64.5</v>
      </c>
      <c r="M49" s="53">
        <f t="shared" si="12"/>
        <v>14515</v>
      </c>
      <c r="N49" s="273">
        <f t="shared" si="13"/>
        <v>55.94</v>
      </c>
      <c r="O49" s="416">
        <v>225</v>
      </c>
      <c r="P49" s="273"/>
      <c r="Q49" s="246"/>
      <c r="R49" s="488"/>
    </row>
    <row r="50" spans="1:18" ht="16.5" customHeight="1">
      <c r="A50" s="706" t="s">
        <v>652</v>
      </c>
      <c r="B50" s="707"/>
      <c r="C50" s="707"/>
      <c r="D50" s="707"/>
      <c r="E50" s="708"/>
      <c r="F50" s="52">
        <f t="shared" si="14"/>
        <v>78.5</v>
      </c>
      <c r="G50" s="53">
        <f t="shared" si="9"/>
        <v>23550</v>
      </c>
      <c r="H50" s="52">
        <f t="shared" si="15"/>
        <v>73</v>
      </c>
      <c r="I50" s="53">
        <f t="shared" si="10"/>
        <v>21900</v>
      </c>
      <c r="J50" s="52">
        <f t="shared" si="16"/>
        <v>67.5</v>
      </c>
      <c r="K50" s="53">
        <f t="shared" si="11"/>
        <v>20250</v>
      </c>
      <c r="L50" s="52">
        <f t="shared" si="17"/>
        <v>64.5</v>
      </c>
      <c r="M50" s="53">
        <f t="shared" si="12"/>
        <v>19350</v>
      </c>
      <c r="N50" s="273">
        <f t="shared" si="13"/>
        <v>55.94</v>
      </c>
      <c r="O50" s="416">
        <v>300</v>
      </c>
      <c r="P50" s="273"/>
      <c r="Q50" s="246"/>
      <c r="R50" s="488"/>
    </row>
    <row r="51" spans="1:18" ht="16.5" customHeight="1">
      <c r="A51" s="706" t="s">
        <v>653</v>
      </c>
      <c r="B51" s="707"/>
      <c r="C51" s="707"/>
      <c r="D51" s="707"/>
      <c r="E51" s="708"/>
      <c r="F51" s="52">
        <f t="shared" si="14"/>
        <v>78.5</v>
      </c>
      <c r="G51" s="53">
        <f t="shared" si="9"/>
        <v>31400</v>
      </c>
      <c r="H51" s="52">
        <f t="shared" si="15"/>
        <v>73</v>
      </c>
      <c r="I51" s="53">
        <f t="shared" si="10"/>
        <v>29200</v>
      </c>
      <c r="J51" s="52">
        <f t="shared" si="16"/>
        <v>67.5</v>
      </c>
      <c r="K51" s="53">
        <f t="shared" si="11"/>
        <v>27000</v>
      </c>
      <c r="L51" s="52">
        <f t="shared" si="17"/>
        <v>64.5</v>
      </c>
      <c r="M51" s="53">
        <f t="shared" si="12"/>
        <v>25800</v>
      </c>
      <c r="N51" s="273">
        <f t="shared" si="13"/>
        <v>55.94</v>
      </c>
      <c r="O51" s="416">
        <v>400</v>
      </c>
      <c r="P51" s="273"/>
      <c r="Q51" s="246"/>
      <c r="R51" s="488"/>
    </row>
    <row r="52" spans="1:18" ht="16.5" customHeight="1" thickBot="1">
      <c r="A52" s="753" t="s">
        <v>654</v>
      </c>
      <c r="B52" s="754"/>
      <c r="C52" s="754"/>
      <c r="D52" s="754"/>
      <c r="E52" s="755"/>
      <c r="F52" s="50">
        <f t="shared" si="14"/>
        <v>78.5</v>
      </c>
      <c r="G52" s="51">
        <f t="shared" si="9"/>
        <v>47100</v>
      </c>
      <c r="H52" s="50">
        <f t="shared" si="15"/>
        <v>73</v>
      </c>
      <c r="I52" s="51">
        <f t="shared" si="10"/>
        <v>43800</v>
      </c>
      <c r="J52" s="50">
        <f t="shared" si="16"/>
        <v>67.5</v>
      </c>
      <c r="K52" s="51">
        <f t="shared" si="11"/>
        <v>40500</v>
      </c>
      <c r="L52" s="50">
        <f t="shared" si="17"/>
        <v>64.5</v>
      </c>
      <c r="M52" s="51">
        <f t="shared" si="12"/>
        <v>38700</v>
      </c>
      <c r="N52" s="273">
        <f t="shared" si="13"/>
        <v>55.94</v>
      </c>
      <c r="O52" s="416">
        <v>600</v>
      </c>
      <c r="P52" s="273"/>
      <c r="Q52" s="236"/>
      <c r="R52" s="475"/>
    </row>
    <row r="53" ht="13.5" thickTop="1"/>
  </sheetData>
  <sheetProtection password="CF7A" sheet="1"/>
  <mergeCells count="48">
    <mergeCell ref="A48:E48"/>
    <mergeCell ref="A42:E42"/>
    <mergeCell ref="A49:E49"/>
    <mergeCell ref="A50:E50"/>
    <mergeCell ref="A51:E51"/>
    <mergeCell ref="A52:E5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M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Q11:R11"/>
    <mergeCell ref="A13:M13"/>
    <mergeCell ref="A14:E14"/>
    <mergeCell ref="A15:E15"/>
    <mergeCell ref="A16:E16"/>
    <mergeCell ref="A17:E17"/>
    <mergeCell ref="A10:M10"/>
    <mergeCell ref="A9:M9"/>
    <mergeCell ref="A11:E12"/>
    <mergeCell ref="F11:G11"/>
    <mergeCell ref="H11:I11"/>
    <mergeCell ref="J11:K11"/>
    <mergeCell ref="L11:M11"/>
  </mergeCells>
  <hyperlinks>
    <hyperlink ref="L6" r:id="rId1" display="info@agrohoztorg.ru"/>
    <hyperlink ref="L7" r:id="rId2" display="www.agrohoztorg.ru"/>
  </hyperlinks>
  <printOptions/>
  <pageMargins left="0.6299212598425197" right="0.1968503937007874" top="0.3937007874015748" bottom="0.3937007874015748" header="0.1968503937007874" footer="0.1968503937007874"/>
  <pageSetup horizontalDpi="600" verticalDpi="600" orientation="portrait" paperSize="9" scale="6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5"/>
  <sheetViews>
    <sheetView showGridLines="0" zoomScale="120" zoomScaleNormal="120" zoomScalePageLayoutView="0" workbookViewId="0" topLeftCell="A1">
      <selection activeCell="D6" sqref="D6"/>
    </sheetView>
  </sheetViews>
  <sheetFormatPr defaultColWidth="9.140625" defaultRowHeight="12.75"/>
  <cols>
    <col min="1" max="1" width="12.00390625" style="0" customWidth="1"/>
    <col min="2" max="2" width="12.7109375" style="0" customWidth="1"/>
    <col min="3" max="3" width="11.421875" style="0" customWidth="1"/>
    <col min="4" max="5" width="10.421875" style="0" customWidth="1"/>
    <col min="6" max="6" width="9.140625" style="0" customWidth="1"/>
    <col min="7" max="7" width="13.00390625" style="0" customWidth="1"/>
    <col min="8" max="8" width="9.140625" style="0" customWidth="1"/>
    <col min="9" max="9" width="13.00390625" style="0" customWidth="1"/>
    <col min="10" max="10" width="9.140625" style="0" customWidth="1"/>
    <col min="11" max="11" width="13.00390625" style="0" customWidth="1"/>
    <col min="12" max="12" width="9.140625" style="0" customWidth="1"/>
    <col min="13" max="13" width="13.00390625" style="0" customWidth="1"/>
    <col min="14" max="18" width="9.140625" style="0" hidden="1" customWidth="1"/>
  </cols>
  <sheetData>
    <row r="1" spans="1:18" ht="39" customHeight="1" thickBot="1">
      <c r="A1" s="21" t="s">
        <v>8</v>
      </c>
      <c r="B1" s="3"/>
      <c r="C1" s="8"/>
      <c r="D1" s="4"/>
      <c r="E1" s="14"/>
      <c r="F1" s="4"/>
      <c r="G1" s="14"/>
      <c r="H1" s="4"/>
      <c r="I1" s="14"/>
      <c r="J1" s="4"/>
      <c r="K1" s="548" t="s">
        <v>516</v>
      </c>
      <c r="L1" s="549"/>
      <c r="M1" s="14"/>
      <c r="N1" s="271"/>
      <c r="O1" s="331"/>
      <c r="P1" s="271"/>
      <c r="Q1" s="220"/>
      <c r="R1" s="221"/>
    </row>
    <row r="2" spans="1:18" ht="13.5" customHeight="1">
      <c r="A2" s="556" t="s">
        <v>9</v>
      </c>
      <c r="B2" s="6"/>
      <c r="C2" s="9"/>
      <c r="D2" s="7"/>
      <c r="E2" s="15"/>
      <c r="F2" s="7"/>
      <c r="G2" s="15"/>
      <c r="H2" s="7"/>
      <c r="I2" s="15"/>
      <c r="J2" s="7"/>
      <c r="K2" s="550" t="s">
        <v>49</v>
      </c>
      <c r="L2" s="551"/>
      <c r="M2" s="57"/>
      <c r="N2" s="271"/>
      <c r="O2" s="331"/>
      <c r="P2" s="271"/>
      <c r="Q2" s="222"/>
      <c r="R2" s="223"/>
    </row>
    <row r="3" spans="1:18" ht="13.5" customHeight="1">
      <c r="A3" s="7"/>
      <c r="B3" s="7"/>
      <c r="C3" s="7"/>
      <c r="D3" s="7"/>
      <c r="E3" s="7"/>
      <c r="F3" s="43"/>
      <c r="G3" s="43"/>
      <c r="H3" s="43"/>
      <c r="I3" s="43"/>
      <c r="J3" s="7"/>
      <c r="K3" s="552" t="s">
        <v>21</v>
      </c>
      <c r="L3" s="551" t="s">
        <v>655</v>
      </c>
      <c r="M3" s="58"/>
      <c r="N3" s="271"/>
      <c r="O3" s="331"/>
      <c r="P3" s="271"/>
      <c r="Q3" s="224"/>
      <c r="R3" s="224"/>
    </row>
    <row r="4" spans="1:18" ht="13.5" customHeight="1">
      <c r="A4" s="7"/>
      <c r="B4" s="7"/>
      <c r="C4" s="7"/>
      <c r="D4" s="7"/>
      <c r="E4" s="7"/>
      <c r="F4" s="43"/>
      <c r="G4" s="43"/>
      <c r="H4" s="43"/>
      <c r="I4" s="43"/>
      <c r="J4" s="7"/>
      <c r="K4" s="552" t="s">
        <v>21</v>
      </c>
      <c r="L4" s="551" t="s">
        <v>10</v>
      </c>
      <c r="M4" s="58"/>
      <c r="N4" s="271"/>
      <c r="O4" s="331"/>
      <c r="P4" s="271"/>
      <c r="Q4" s="224"/>
      <c r="R4" s="224"/>
    </row>
    <row r="5" spans="1:18" ht="13.5" customHeight="1">
      <c r="A5" s="7"/>
      <c r="B5" s="7"/>
      <c r="C5" s="7"/>
      <c r="D5" s="7"/>
      <c r="E5" s="43"/>
      <c r="F5" s="43"/>
      <c r="G5" s="43"/>
      <c r="H5" s="43"/>
      <c r="I5" s="43"/>
      <c r="J5" s="7"/>
      <c r="K5" s="552" t="s">
        <v>425</v>
      </c>
      <c r="L5" s="551" t="s">
        <v>11</v>
      </c>
      <c r="M5" s="58"/>
      <c r="N5" s="271"/>
      <c r="O5" s="331"/>
      <c r="P5" s="271"/>
      <c r="Q5" s="224"/>
      <c r="R5" s="224"/>
    </row>
    <row r="6" spans="2:18" ht="13.5" customHeight="1">
      <c r="B6" s="1"/>
      <c r="C6" s="10"/>
      <c r="D6" s="2"/>
      <c r="E6" s="43"/>
      <c r="F6" s="43"/>
      <c r="G6" s="43"/>
      <c r="H6" s="43"/>
      <c r="I6" s="43"/>
      <c r="J6" s="2"/>
      <c r="K6" s="553" t="s">
        <v>12</v>
      </c>
      <c r="L6" s="547" t="s">
        <v>656</v>
      </c>
      <c r="M6" s="61"/>
      <c r="N6" s="411"/>
      <c r="O6" s="416"/>
      <c r="P6" s="273"/>
      <c r="Q6" s="224"/>
      <c r="R6" s="224"/>
    </row>
    <row r="7" spans="1:18" ht="13.5" customHeight="1">
      <c r="A7" s="23"/>
      <c r="B7" s="23"/>
      <c r="C7" s="587"/>
      <c r="D7" s="2"/>
      <c r="E7" s="16"/>
      <c r="F7" s="288"/>
      <c r="G7" s="289"/>
      <c r="H7" s="288"/>
      <c r="I7" s="289"/>
      <c r="J7" s="288"/>
      <c r="K7" s="554" t="s">
        <v>214</v>
      </c>
      <c r="L7" s="555" t="s">
        <v>213</v>
      </c>
      <c r="M7" s="291"/>
      <c r="N7" s="411"/>
      <c r="O7" s="416"/>
      <c r="P7" s="273"/>
      <c r="Q7" s="225"/>
      <c r="R7" s="225"/>
    </row>
    <row r="8" spans="1:18" ht="13.5" customHeight="1">
      <c r="A8" s="23"/>
      <c r="B8" s="23"/>
      <c r="C8" s="587"/>
      <c r="D8" s="2"/>
      <c r="E8" s="16"/>
      <c r="F8" s="288"/>
      <c r="G8" s="289"/>
      <c r="H8" s="288"/>
      <c r="I8" s="289"/>
      <c r="J8" s="288"/>
      <c r="K8" s="178"/>
      <c r="L8" s="290"/>
      <c r="M8" s="291"/>
      <c r="N8" s="411"/>
      <c r="O8" s="416"/>
      <c r="P8" s="273"/>
      <c r="Q8" s="225"/>
      <c r="R8" s="225"/>
    </row>
    <row r="9" spans="1:18" ht="13.5" customHeight="1">
      <c r="A9" s="786" t="s">
        <v>724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411"/>
      <c r="O9" s="416"/>
      <c r="P9" s="273"/>
      <c r="Q9" s="225"/>
      <c r="R9" s="225"/>
    </row>
    <row r="10" spans="1:18" ht="39" customHeight="1">
      <c r="A10" s="953" t="s">
        <v>28</v>
      </c>
      <c r="B10" s="953"/>
      <c r="C10" s="953"/>
      <c r="D10" s="953"/>
      <c r="E10" s="953" t="s">
        <v>28</v>
      </c>
      <c r="F10" s="953"/>
      <c r="G10" s="953"/>
      <c r="H10" s="953"/>
      <c r="I10" s="953"/>
      <c r="J10" s="953"/>
      <c r="K10" s="953"/>
      <c r="L10" s="953"/>
      <c r="M10" s="953"/>
      <c r="N10" s="411"/>
      <c r="O10" s="416"/>
      <c r="P10" s="273"/>
      <c r="Q10" s="225"/>
      <c r="R10" s="225"/>
    </row>
    <row r="11" spans="1:18" ht="12.75" customHeight="1">
      <c r="A11" s="25"/>
      <c r="B11" s="588" t="s">
        <v>23</v>
      </c>
      <c r="C11" s="587"/>
      <c r="D11" s="11"/>
      <c r="E11" s="24"/>
      <c r="F11" s="24"/>
      <c r="G11" s="24"/>
      <c r="H11" s="24"/>
      <c r="I11" s="24"/>
      <c r="J11" s="11"/>
      <c r="K11" s="17"/>
      <c r="L11" s="11"/>
      <c r="M11" s="17"/>
      <c r="N11" s="411"/>
      <c r="O11" s="416"/>
      <c r="P11" s="273"/>
      <c r="Q11" s="226"/>
      <c r="R11" s="226"/>
    </row>
    <row r="12" spans="1:18" ht="12.75" customHeight="1">
      <c r="A12" s="26"/>
      <c r="B12" s="588" t="s">
        <v>382</v>
      </c>
      <c r="C12" s="587"/>
      <c r="D12" s="11"/>
      <c r="E12" s="24"/>
      <c r="F12" s="24"/>
      <c r="G12" s="24"/>
      <c r="H12" s="24"/>
      <c r="I12" s="24"/>
      <c r="J12" s="11"/>
      <c r="K12" s="17"/>
      <c r="L12" s="11"/>
      <c r="M12" s="17"/>
      <c r="N12" s="411" t="s">
        <v>545</v>
      </c>
      <c r="O12" s="413">
        <v>95</v>
      </c>
      <c r="P12" s="273"/>
      <c r="Q12" s="226"/>
      <c r="R12" s="226"/>
    </row>
    <row r="13" spans="1:18" ht="12.75" customHeight="1">
      <c r="A13" s="589"/>
      <c r="B13" s="589"/>
      <c r="C13" s="28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411" t="s">
        <v>546</v>
      </c>
      <c r="O13" s="414">
        <v>95</v>
      </c>
      <c r="P13" s="273"/>
      <c r="Q13" s="227"/>
      <c r="R13" s="228"/>
    </row>
    <row r="14" spans="1:18" ht="12.75">
      <c r="A14" s="670" t="s">
        <v>270</v>
      </c>
      <c r="B14" s="671"/>
      <c r="C14" s="672"/>
      <c r="D14" s="187" t="s">
        <v>3</v>
      </c>
      <c r="E14" s="187" t="s">
        <v>5</v>
      </c>
      <c r="F14" s="673" t="s">
        <v>48</v>
      </c>
      <c r="G14" s="674"/>
      <c r="H14" s="673" t="s">
        <v>45</v>
      </c>
      <c r="I14" s="674"/>
      <c r="J14" s="673" t="s">
        <v>46</v>
      </c>
      <c r="K14" s="674"/>
      <c r="L14" s="673" t="s">
        <v>47</v>
      </c>
      <c r="M14" s="674"/>
      <c r="N14" s="170"/>
      <c r="O14" s="416"/>
      <c r="P14" s="273"/>
      <c r="Q14" s="676"/>
      <c r="R14" s="677"/>
    </row>
    <row r="15" spans="1:18" ht="13.5" thickBot="1">
      <c r="A15" s="663"/>
      <c r="B15" s="664"/>
      <c r="C15" s="665"/>
      <c r="D15" s="181" t="s">
        <v>4</v>
      </c>
      <c r="E15" s="181" t="s">
        <v>1</v>
      </c>
      <c r="F15" s="182" t="s">
        <v>6</v>
      </c>
      <c r="G15" s="183" t="s">
        <v>7</v>
      </c>
      <c r="H15" s="182" t="s">
        <v>6</v>
      </c>
      <c r="I15" s="183" t="s">
        <v>7</v>
      </c>
      <c r="J15" s="182" t="s">
        <v>6</v>
      </c>
      <c r="K15" s="183" t="s">
        <v>7</v>
      </c>
      <c r="L15" s="182" t="s">
        <v>6</v>
      </c>
      <c r="M15" s="183" t="s">
        <v>7</v>
      </c>
      <c r="N15" s="170"/>
      <c r="O15" s="334" t="s">
        <v>20</v>
      </c>
      <c r="P15" s="170"/>
      <c r="Q15" s="229"/>
      <c r="R15" s="461"/>
    </row>
    <row r="16" spans="1:18" ht="19.5" thickBot="1" thickTop="1">
      <c r="A16" s="986" t="s">
        <v>547</v>
      </c>
      <c r="B16" s="987"/>
      <c r="C16" s="988"/>
      <c r="D16" s="431" t="s">
        <v>586</v>
      </c>
      <c r="E16" s="268">
        <v>11</v>
      </c>
      <c r="F16" s="65">
        <f>N16+11</f>
        <v>109</v>
      </c>
      <c r="G16" s="590">
        <f>CEILING(F16*O16,10)</f>
        <v>1200</v>
      </c>
      <c r="H16" s="65">
        <f>F16-1</f>
        <v>108</v>
      </c>
      <c r="I16" s="590">
        <f>CEILING(H16*O16,10)</f>
        <v>1190</v>
      </c>
      <c r="J16" s="65">
        <f>F16-2</f>
        <v>107</v>
      </c>
      <c r="K16" s="590">
        <f>CEILING(J16*O16,10)</f>
        <v>1180</v>
      </c>
      <c r="L16" s="65">
        <f>F16-3</f>
        <v>106</v>
      </c>
      <c r="M16" s="590">
        <f>CEILING(L16*O16,10)</f>
        <v>1170</v>
      </c>
      <c r="N16" s="412">
        <f>O12+3</f>
        <v>98</v>
      </c>
      <c r="O16" s="591">
        <f aca="true" t="shared" si="0" ref="O16:O26">E16</f>
        <v>11</v>
      </c>
      <c r="P16" s="170"/>
      <c r="Q16" s="253"/>
      <c r="R16" s="480"/>
    </row>
    <row r="17" spans="1:18" ht="18.75" thickTop="1">
      <c r="A17" s="989"/>
      <c r="B17" s="990"/>
      <c r="C17" s="991"/>
      <c r="D17" s="269" t="s">
        <v>542</v>
      </c>
      <c r="E17" s="269">
        <v>15</v>
      </c>
      <c r="F17" s="254">
        <f aca="true" t="shared" si="1" ref="F17:F26">H17+2</f>
        <v>109</v>
      </c>
      <c r="G17" s="592">
        <f>CEILING(F17*O17,10)</f>
        <v>1640</v>
      </c>
      <c r="H17" s="254">
        <f>J17+1</f>
        <v>107</v>
      </c>
      <c r="I17" s="592">
        <f>CEILING(H17*O17,10)</f>
        <v>1610</v>
      </c>
      <c r="J17" s="254">
        <f>L17+1</f>
        <v>106</v>
      </c>
      <c r="K17" s="592">
        <f>CEILING(J17*O17,10)</f>
        <v>1590</v>
      </c>
      <c r="L17" s="254">
        <f aca="true" t="shared" si="2" ref="L17:L22">N17+10</f>
        <v>105</v>
      </c>
      <c r="M17" s="592">
        <f>CEILING(L17*O17,10)</f>
        <v>1580</v>
      </c>
      <c r="N17" s="412">
        <f>O12</f>
        <v>95</v>
      </c>
      <c r="O17" s="591">
        <f t="shared" si="0"/>
        <v>15</v>
      </c>
      <c r="P17" s="593"/>
      <c r="Q17" s="230"/>
      <c r="R17" s="594"/>
    </row>
    <row r="18" spans="1:18" ht="18">
      <c r="A18" s="989"/>
      <c r="B18" s="990"/>
      <c r="C18" s="991"/>
      <c r="D18" s="270" t="s">
        <v>541</v>
      </c>
      <c r="E18" s="270">
        <v>20</v>
      </c>
      <c r="F18" s="66">
        <f t="shared" si="1"/>
        <v>109</v>
      </c>
      <c r="G18" s="595">
        <f aca="true" t="shared" si="3" ref="G18:G26">CEILING(F18*O18,10)</f>
        <v>2180</v>
      </c>
      <c r="H18" s="66">
        <f aca="true" t="shared" si="4" ref="H18:H26">J18+1</f>
        <v>107</v>
      </c>
      <c r="I18" s="595">
        <f>CEILING(H18*O18,10)</f>
        <v>2140</v>
      </c>
      <c r="J18" s="66">
        <f aca="true" t="shared" si="5" ref="J18:J26">L18+1</f>
        <v>106</v>
      </c>
      <c r="K18" s="595">
        <f aca="true" t="shared" si="6" ref="K18:K26">CEILING(J18*O18,10)</f>
        <v>2120</v>
      </c>
      <c r="L18" s="66">
        <f t="shared" si="2"/>
        <v>105</v>
      </c>
      <c r="M18" s="595">
        <f aca="true" t="shared" si="7" ref="M18:M26">CEILING(L18*O18,10)</f>
        <v>2100</v>
      </c>
      <c r="N18" s="412">
        <f>O12</f>
        <v>95</v>
      </c>
      <c r="O18" s="591">
        <f t="shared" si="0"/>
        <v>20</v>
      </c>
      <c r="P18" s="593"/>
      <c r="Q18" s="231"/>
      <c r="R18" s="596"/>
    </row>
    <row r="19" spans="1:18" ht="18">
      <c r="A19" s="989"/>
      <c r="B19" s="990"/>
      <c r="C19" s="991"/>
      <c r="D19" s="597" t="s">
        <v>538</v>
      </c>
      <c r="E19" s="598">
        <v>25</v>
      </c>
      <c r="F19" s="67">
        <f t="shared" si="1"/>
        <v>109</v>
      </c>
      <c r="G19" s="599">
        <f t="shared" si="3"/>
        <v>2730</v>
      </c>
      <c r="H19" s="67">
        <f t="shared" si="4"/>
        <v>107</v>
      </c>
      <c r="I19" s="599">
        <f aca="true" t="shared" si="8" ref="I19:I26">CEILING(H19*O19,10)</f>
        <v>2680</v>
      </c>
      <c r="J19" s="67">
        <f t="shared" si="5"/>
        <v>106</v>
      </c>
      <c r="K19" s="599">
        <f t="shared" si="6"/>
        <v>2650</v>
      </c>
      <c r="L19" s="67">
        <f t="shared" si="2"/>
        <v>105</v>
      </c>
      <c r="M19" s="599">
        <f t="shared" si="7"/>
        <v>2630</v>
      </c>
      <c r="N19" s="412">
        <f>O12</f>
        <v>95</v>
      </c>
      <c r="O19" s="591">
        <f t="shared" si="0"/>
        <v>25</v>
      </c>
      <c r="P19" s="593"/>
      <c r="Q19" s="232"/>
      <c r="R19" s="600"/>
    </row>
    <row r="20" spans="1:18" ht="18">
      <c r="A20" s="989"/>
      <c r="B20" s="990"/>
      <c r="C20" s="991"/>
      <c r="D20" s="598" t="s">
        <v>537</v>
      </c>
      <c r="E20" s="598">
        <v>30</v>
      </c>
      <c r="F20" s="67">
        <f t="shared" si="1"/>
        <v>109</v>
      </c>
      <c r="G20" s="599">
        <f t="shared" si="3"/>
        <v>3270</v>
      </c>
      <c r="H20" s="67">
        <f t="shared" si="4"/>
        <v>107</v>
      </c>
      <c r="I20" s="599">
        <f t="shared" si="8"/>
        <v>3210</v>
      </c>
      <c r="J20" s="67">
        <f t="shared" si="5"/>
        <v>106</v>
      </c>
      <c r="K20" s="599">
        <f t="shared" si="6"/>
        <v>3180</v>
      </c>
      <c r="L20" s="67">
        <f t="shared" si="2"/>
        <v>105</v>
      </c>
      <c r="M20" s="599">
        <f t="shared" si="7"/>
        <v>3150</v>
      </c>
      <c r="N20" s="412">
        <f>O12</f>
        <v>95</v>
      </c>
      <c r="O20" s="591">
        <f t="shared" si="0"/>
        <v>30</v>
      </c>
      <c r="P20" s="593"/>
      <c r="Q20" s="232"/>
      <c r="R20" s="600"/>
    </row>
    <row r="21" spans="1:18" ht="18">
      <c r="A21" s="989"/>
      <c r="B21" s="990"/>
      <c r="C21" s="991"/>
      <c r="D21" s="270" t="s">
        <v>535</v>
      </c>
      <c r="E21" s="270">
        <v>37</v>
      </c>
      <c r="F21" s="67">
        <f t="shared" si="1"/>
        <v>109</v>
      </c>
      <c r="G21" s="599">
        <f t="shared" si="3"/>
        <v>4040</v>
      </c>
      <c r="H21" s="67">
        <f t="shared" si="4"/>
        <v>107</v>
      </c>
      <c r="I21" s="599">
        <f t="shared" si="8"/>
        <v>3960</v>
      </c>
      <c r="J21" s="67">
        <f t="shared" si="5"/>
        <v>106</v>
      </c>
      <c r="K21" s="599">
        <f t="shared" si="6"/>
        <v>3930</v>
      </c>
      <c r="L21" s="67">
        <f t="shared" si="2"/>
        <v>105</v>
      </c>
      <c r="M21" s="599">
        <f t="shared" si="7"/>
        <v>3890</v>
      </c>
      <c r="N21" s="412">
        <f>O12</f>
        <v>95</v>
      </c>
      <c r="O21" s="591">
        <f t="shared" si="0"/>
        <v>37</v>
      </c>
      <c r="P21" s="593"/>
      <c r="Q21" s="232"/>
      <c r="R21" s="600"/>
    </row>
    <row r="22" spans="1:18" ht="18">
      <c r="A22" s="992"/>
      <c r="B22" s="993"/>
      <c r="C22" s="994"/>
      <c r="D22" s="270" t="s">
        <v>536</v>
      </c>
      <c r="E22" s="270">
        <v>25</v>
      </c>
      <c r="F22" s="67">
        <f t="shared" si="1"/>
        <v>109</v>
      </c>
      <c r="G22" s="599">
        <f t="shared" si="3"/>
        <v>2730</v>
      </c>
      <c r="H22" s="67">
        <f t="shared" si="4"/>
        <v>107</v>
      </c>
      <c r="I22" s="599">
        <f t="shared" si="8"/>
        <v>2680</v>
      </c>
      <c r="J22" s="67">
        <f t="shared" si="5"/>
        <v>106</v>
      </c>
      <c r="K22" s="599">
        <f t="shared" si="6"/>
        <v>2650</v>
      </c>
      <c r="L22" s="67">
        <f t="shared" si="2"/>
        <v>105</v>
      </c>
      <c r="M22" s="599">
        <f t="shared" si="7"/>
        <v>2630</v>
      </c>
      <c r="N22" s="412">
        <f>O12</f>
        <v>95</v>
      </c>
      <c r="O22" s="591">
        <f t="shared" si="0"/>
        <v>25</v>
      </c>
      <c r="P22" s="593"/>
      <c r="Q22" s="232"/>
      <c r="R22" s="600"/>
    </row>
    <row r="23" spans="1:18" ht="18">
      <c r="A23" s="995" t="s">
        <v>548</v>
      </c>
      <c r="B23" s="996"/>
      <c r="C23" s="997"/>
      <c r="D23" s="597" t="s">
        <v>544</v>
      </c>
      <c r="E23" s="598">
        <v>25</v>
      </c>
      <c r="F23" s="67">
        <f t="shared" si="1"/>
        <v>109</v>
      </c>
      <c r="G23" s="599">
        <f t="shared" si="3"/>
        <v>2730</v>
      </c>
      <c r="H23" s="67">
        <f>J23+1</f>
        <v>107</v>
      </c>
      <c r="I23" s="599">
        <f t="shared" si="8"/>
        <v>2680</v>
      </c>
      <c r="J23" s="67">
        <f t="shared" si="5"/>
        <v>106</v>
      </c>
      <c r="K23" s="599">
        <f t="shared" si="6"/>
        <v>2650</v>
      </c>
      <c r="L23" s="67">
        <f>N23+10</f>
        <v>105</v>
      </c>
      <c r="M23" s="599">
        <f t="shared" si="7"/>
        <v>2630</v>
      </c>
      <c r="N23" s="412">
        <f>O12</f>
        <v>95</v>
      </c>
      <c r="O23" s="591">
        <f t="shared" si="0"/>
        <v>25</v>
      </c>
      <c r="P23" s="593"/>
      <c r="Q23" s="235"/>
      <c r="R23" s="601"/>
    </row>
    <row r="24" spans="1:18" ht="18">
      <c r="A24" s="989"/>
      <c r="B24" s="990"/>
      <c r="C24" s="991"/>
      <c r="D24" s="598" t="s">
        <v>543</v>
      </c>
      <c r="E24" s="598">
        <v>30</v>
      </c>
      <c r="F24" s="67">
        <f t="shared" si="1"/>
        <v>109</v>
      </c>
      <c r="G24" s="599">
        <f t="shared" si="3"/>
        <v>3270</v>
      </c>
      <c r="H24" s="67">
        <f t="shared" si="4"/>
        <v>107</v>
      </c>
      <c r="I24" s="599">
        <f t="shared" si="8"/>
        <v>3210</v>
      </c>
      <c r="J24" s="67">
        <f t="shared" si="5"/>
        <v>106</v>
      </c>
      <c r="K24" s="599">
        <f t="shared" si="6"/>
        <v>3180</v>
      </c>
      <c r="L24" s="67">
        <f>N24+10</f>
        <v>105</v>
      </c>
      <c r="M24" s="599">
        <f t="shared" si="7"/>
        <v>3150</v>
      </c>
      <c r="N24" s="412">
        <f>O12</f>
        <v>95</v>
      </c>
      <c r="O24" s="591">
        <f t="shared" si="0"/>
        <v>30</v>
      </c>
      <c r="P24" s="593"/>
      <c r="Q24" s="232"/>
      <c r="R24" s="600"/>
    </row>
    <row r="25" spans="1:18" ht="18">
      <c r="A25" s="989"/>
      <c r="B25" s="990"/>
      <c r="C25" s="991"/>
      <c r="D25" s="270" t="s">
        <v>539</v>
      </c>
      <c r="E25" s="270">
        <v>37</v>
      </c>
      <c r="F25" s="67">
        <f t="shared" si="1"/>
        <v>109</v>
      </c>
      <c r="G25" s="599">
        <f t="shared" si="3"/>
        <v>4040</v>
      </c>
      <c r="H25" s="67">
        <f t="shared" si="4"/>
        <v>107</v>
      </c>
      <c r="I25" s="599">
        <f t="shared" si="8"/>
        <v>3960</v>
      </c>
      <c r="J25" s="67">
        <f t="shared" si="5"/>
        <v>106</v>
      </c>
      <c r="K25" s="599">
        <f t="shared" si="6"/>
        <v>3930</v>
      </c>
      <c r="L25" s="67">
        <f>N25+10</f>
        <v>105</v>
      </c>
      <c r="M25" s="599">
        <f t="shared" si="7"/>
        <v>3890</v>
      </c>
      <c r="N25" s="412">
        <f>O12</f>
        <v>95</v>
      </c>
      <c r="O25" s="591">
        <f t="shared" si="0"/>
        <v>37</v>
      </c>
      <c r="P25" s="593"/>
      <c r="Q25" s="232"/>
      <c r="R25" s="600"/>
    </row>
    <row r="26" spans="1:18" ht="18">
      <c r="A26" s="992"/>
      <c r="B26" s="993"/>
      <c r="C26" s="994"/>
      <c r="D26" s="598" t="s">
        <v>540</v>
      </c>
      <c r="E26" s="598">
        <v>50</v>
      </c>
      <c r="F26" s="602">
        <f t="shared" si="1"/>
        <v>109</v>
      </c>
      <c r="G26" s="603">
        <f t="shared" si="3"/>
        <v>5450</v>
      </c>
      <c r="H26" s="602">
        <f t="shared" si="4"/>
        <v>107</v>
      </c>
      <c r="I26" s="603">
        <f t="shared" si="8"/>
        <v>5350</v>
      </c>
      <c r="J26" s="602">
        <f t="shared" si="5"/>
        <v>106</v>
      </c>
      <c r="K26" s="603">
        <f t="shared" si="6"/>
        <v>5300</v>
      </c>
      <c r="L26" s="602">
        <f>N26+10</f>
        <v>105</v>
      </c>
      <c r="M26" s="603">
        <f t="shared" si="7"/>
        <v>5250</v>
      </c>
      <c r="N26" s="412">
        <f>O12</f>
        <v>95</v>
      </c>
      <c r="O26" s="591">
        <f t="shared" si="0"/>
        <v>50</v>
      </c>
      <c r="P26" s="593"/>
      <c r="Q26" s="232"/>
      <c r="R26" s="600"/>
    </row>
    <row r="27" spans="1:18" ht="46.5" customHeight="1">
      <c r="A27" s="659" t="s">
        <v>702</v>
      </c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411"/>
      <c r="O27" s="416"/>
      <c r="P27" s="273"/>
      <c r="Q27" s="225"/>
      <c r="R27" s="225"/>
    </row>
    <row r="28" spans="1:18" ht="17.25" customHeight="1">
      <c r="A28" s="660" t="s">
        <v>96</v>
      </c>
      <c r="B28" s="661"/>
      <c r="C28" s="661"/>
      <c r="D28" s="661"/>
      <c r="E28" s="662"/>
      <c r="F28" s="666" t="s">
        <v>48</v>
      </c>
      <c r="G28" s="667"/>
      <c r="H28" s="666" t="s">
        <v>45</v>
      </c>
      <c r="I28" s="667"/>
      <c r="J28" s="666" t="s">
        <v>46</v>
      </c>
      <c r="K28" s="667"/>
      <c r="L28" s="666" t="s">
        <v>47</v>
      </c>
      <c r="M28" s="667"/>
      <c r="N28" s="411"/>
      <c r="O28" s="416"/>
      <c r="P28" s="273"/>
      <c r="Q28" s="676"/>
      <c r="R28" s="677"/>
    </row>
    <row r="29" spans="1:18" ht="17.25" customHeight="1" thickBot="1">
      <c r="A29" s="660"/>
      <c r="B29" s="661"/>
      <c r="C29" s="661"/>
      <c r="D29" s="661"/>
      <c r="E29" s="662"/>
      <c r="F29" s="182" t="s">
        <v>37</v>
      </c>
      <c r="G29" s="183" t="s">
        <v>26</v>
      </c>
      <c r="H29" s="182" t="s">
        <v>37</v>
      </c>
      <c r="I29" s="183" t="s">
        <v>26</v>
      </c>
      <c r="J29" s="182" t="s">
        <v>37</v>
      </c>
      <c r="K29" s="183" t="s">
        <v>26</v>
      </c>
      <c r="L29" s="182" t="s">
        <v>37</v>
      </c>
      <c r="M29" s="183" t="s">
        <v>26</v>
      </c>
      <c r="N29" s="277" t="s">
        <v>36</v>
      </c>
      <c r="O29" s="337" t="s">
        <v>88</v>
      </c>
      <c r="P29" s="273"/>
      <c r="Q29" s="229"/>
      <c r="R29" s="461"/>
    </row>
    <row r="30" spans="1:18" ht="17.25" customHeight="1" thickTop="1">
      <c r="A30" s="941" t="s">
        <v>29</v>
      </c>
      <c r="B30" s="942"/>
      <c r="C30" s="942"/>
      <c r="D30" s="942"/>
      <c r="E30" s="943"/>
      <c r="F30" s="160">
        <f>CEILING(N30*1.5,1)</f>
        <v>26</v>
      </c>
      <c r="G30" s="161">
        <f>CEILING(F30*O30,50)</f>
        <v>1300</v>
      </c>
      <c r="H30" s="160">
        <f>CEILING(N30*1.4,1)</f>
        <v>24</v>
      </c>
      <c r="I30" s="161">
        <f>CEILING(H30*O30,10)</f>
        <v>1200</v>
      </c>
      <c r="J30" s="160">
        <f>CEILING(N30*1.3,0.5)</f>
        <v>22.5</v>
      </c>
      <c r="K30" s="161">
        <f>CEILING(J30*O30,10)</f>
        <v>1130</v>
      </c>
      <c r="L30" s="160">
        <f>CEILING(N30*1.2,0.5)</f>
        <v>20.5</v>
      </c>
      <c r="M30" s="161">
        <f>CEILING(L30*O30,10)</f>
        <v>1030</v>
      </c>
      <c r="N30" s="604">
        <v>16.95</v>
      </c>
      <c r="O30" s="416">
        <v>50</v>
      </c>
      <c r="P30" s="273"/>
      <c r="Q30" s="245"/>
      <c r="R30" s="487"/>
    </row>
    <row r="31" spans="1:18" ht="17.25" customHeight="1">
      <c r="A31" s="641" t="s">
        <v>32</v>
      </c>
      <c r="B31" s="642"/>
      <c r="C31" s="642"/>
      <c r="D31" s="642" t="s">
        <v>30</v>
      </c>
      <c r="E31" s="643" t="s">
        <v>31</v>
      </c>
      <c r="F31" s="64">
        <f>CEILING(N31*1.5,1)</f>
        <v>26</v>
      </c>
      <c r="G31" s="63">
        <f>CEILING(F31*O31,50)</f>
        <v>2600</v>
      </c>
      <c r="H31" s="64">
        <f>CEILING(N31*1.4,1)</f>
        <v>24</v>
      </c>
      <c r="I31" s="63">
        <f>CEILING(H31*O31,10)</f>
        <v>2400</v>
      </c>
      <c r="J31" s="64">
        <f>CEILING(N31*1.3,0.5)</f>
        <v>22.5</v>
      </c>
      <c r="K31" s="63">
        <f>CEILING(J31*O31,10)</f>
        <v>2250</v>
      </c>
      <c r="L31" s="64">
        <f>CEILING(N31*1.2,0.5)</f>
        <v>20.5</v>
      </c>
      <c r="M31" s="63">
        <f>CEILING(L31*O31,10)</f>
        <v>2050</v>
      </c>
      <c r="N31" s="604">
        <v>16.95</v>
      </c>
      <c r="O31" s="416">
        <v>100</v>
      </c>
      <c r="P31" s="273"/>
      <c r="Q31" s="246"/>
      <c r="R31" s="488"/>
    </row>
    <row r="32" spans="1:18" ht="17.25" customHeight="1">
      <c r="A32" s="641" t="s">
        <v>502</v>
      </c>
      <c r="B32" s="642"/>
      <c r="C32" s="642"/>
      <c r="D32" s="642" t="s">
        <v>30</v>
      </c>
      <c r="E32" s="643" t="s">
        <v>31</v>
      </c>
      <c r="F32" s="52">
        <f>CEILING(N32*1.5,1)</f>
        <v>26</v>
      </c>
      <c r="G32" s="53">
        <f>CEILING(F32*O32,50)</f>
        <v>3900</v>
      </c>
      <c r="H32" s="52">
        <f>CEILING(N32*1.4,1)</f>
        <v>24</v>
      </c>
      <c r="I32" s="53">
        <f>CEILING(H32*O32,10)</f>
        <v>3600</v>
      </c>
      <c r="J32" s="52">
        <f>CEILING(N32*1.3,0.5)</f>
        <v>22.5</v>
      </c>
      <c r="K32" s="53">
        <f>CEILING(J32*O32,10)</f>
        <v>3380</v>
      </c>
      <c r="L32" s="52">
        <f>CEILING(N32*1.2,0.5)</f>
        <v>20.5</v>
      </c>
      <c r="M32" s="53">
        <f>CEILING(L32*O32,10)</f>
        <v>3080</v>
      </c>
      <c r="N32" s="604">
        <v>16.95</v>
      </c>
      <c r="O32" s="416">
        <v>150</v>
      </c>
      <c r="P32" s="273"/>
      <c r="Q32" s="246"/>
      <c r="R32" s="488"/>
    </row>
    <row r="33" spans="1:18" ht="17.25" customHeight="1">
      <c r="A33" s="641" t="s">
        <v>503</v>
      </c>
      <c r="B33" s="642"/>
      <c r="C33" s="642"/>
      <c r="D33" s="642"/>
      <c r="E33" s="643"/>
      <c r="F33" s="52">
        <f>CEILING(N33*1.5,1)</f>
        <v>26</v>
      </c>
      <c r="G33" s="53">
        <f>CEILING(F33*O33,50)</f>
        <v>5200</v>
      </c>
      <c r="H33" s="52">
        <f>CEILING(N33*1.4,1)</f>
        <v>24</v>
      </c>
      <c r="I33" s="53">
        <f>CEILING(H33*O33,10)</f>
        <v>4800</v>
      </c>
      <c r="J33" s="52">
        <f>CEILING(N33*1.3,0.5)</f>
        <v>22.5</v>
      </c>
      <c r="K33" s="53">
        <f>CEILING(J33*O33,10)</f>
        <v>4500</v>
      </c>
      <c r="L33" s="52">
        <f>CEILING(N33*1.2,0.5)</f>
        <v>20.5</v>
      </c>
      <c r="M33" s="53">
        <f>CEILING(L33*O33,10)</f>
        <v>4100</v>
      </c>
      <c r="N33" s="604">
        <v>16.95</v>
      </c>
      <c r="O33" s="416">
        <v>200</v>
      </c>
      <c r="P33" s="273"/>
      <c r="Q33" s="246"/>
      <c r="R33" s="488"/>
    </row>
    <row r="34" spans="1:18" ht="17.25" customHeight="1" thickBot="1">
      <c r="A34" s="948" t="s">
        <v>349</v>
      </c>
      <c r="B34" s="949"/>
      <c r="C34" s="949"/>
      <c r="D34" s="949"/>
      <c r="E34" s="950"/>
      <c r="F34" s="298">
        <f>CEILING(N34*1.5,1)</f>
        <v>44</v>
      </c>
      <c r="G34" s="299">
        <f>CEILING(F34*O34,50)</f>
        <v>6600</v>
      </c>
      <c r="H34" s="298">
        <f>CEILING(N34*1.4,1)</f>
        <v>41</v>
      </c>
      <c r="I34" s="299">
        <f>CEILING(H34*O34,10)</f>
        <v>6150</v>
      </c>
      <c r="J34" s="298">
        <f>CEILING(N34*1.3,0.5)</f>
        <v>37.5</v>
      </c>
      <c r="K34" s="299">
        <f>CEILING(J34*O34,10)</f>
        <v>5630</v>
      </c>
      <c r="L34" s="298">
        <f>CEILING(N34*1.2,0.5)</f>
        <v>35</v>
      </c>
      <c r="M34" s="299">
        <f>CEILING(L34*O34,10)</f>
        <v>5250</v>
      </c>
      <c r="N34" s="604">
        <v>28.8</v>
      </c>
      <c r="O34" s="380">
        <v>150</v>
      </c>
      <c r="P34" s="273"/>
      <c r="Q34" s="236"/>
      <c r="R34" s="475"/>
    </row>
    <row r="35" spans="1:18" ht="46.5" customHeight="1" thickTop="1">
      <c r="A35" s="659" t="s">
        <v>703</v>
      </c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411"/>
      <c r="O35" s="416"/>
      <c r="P35" s="273"/>
      <c r="Q35" s="225"/>
      <c r="R35" s="225"/>
    </row>
    <row r="36" spans="1:18" ht="17.25" customHeight="1">
      <c r="A36" s="660" t="s">
        <v>96</v>
      </c>
      <c r="B36" s="661"/>
      <c r="C36" s="661"/>
      <c r="D36" s="661"/>
      <c r="E36" s="662"/>
      <c r="F36" s="666" t="s">
        <v>48</v>
      </c>
      <c r="G36" s="667"/>
      <c r="H36" s="666" t="s">
        <v>45</v>
      </c>
      <c r="I36" s="667"/>
      <c r="J36" s="666" t="s">
        <v>46</v>
      </c>
      <c r="K36" s="667"/>
      <c r="L36" s="666" t="s">
        <v>47</v>
      </c>
      <c r="M36" s="667"/>
      <c r="N36" s="411"/>
      <c r="O36" s="416"/>
      <c r="P36" s="273"/>
      <c r="Q36" s="676"/>
      <c r="R36" s="677"/>
    </row>
    <row r="37" spans="1:18" ht="17.25" customHeight="1" thickBot="1">
      <c r="A37" s="663"/>
      <c r="B37" s="664"/>
      <c r="C37" s="664"/>
      <c r="D37" s="664"/>
      <c r="E37" s="665"/>
      <c r="F37" s="182" t="s">
        <v>37</v>
      </c>
      <c r="G37" s="183" t="s">
        <v>26</v>
      </c>
      <c r="H37" s="182" t="s">
        <v>37</v>
      </c>
      <c r="I37" s="183" t="s">
        <v>26</v>
      </c>
      <c r="J37" s="182" t="s">
        <v>37</v>
      </c>
      <c r="K37" s="183" t="s">
        <v>26</v>
      </c>
      <c r="L37" s="182" t="s">
        <v>37</v>
      </c>
      <c r="M37" s="183" t="s">
        <v>26</v>
      </c>
      <c r="N37" s="277" t="s">
        <v>36</v>
      </c>
      <c r="O37" s="337" t="s">
        <v>88</v>
      </c>
      <c r="P37" s="273"/>
      <c r="Q37" s="229"/>
      <c r="R37" s="461"/>
    </row>
    <row r="38" spans="1:18" ht="17.25" customHeight="1" thickTop="1">
      <c r="A38" s="750" t="s">
        <v>519</v>
      </c>
      <c r="B38" s="751"/>
      <c r="C38" s="751"/>
      <c r="D38" s="751"/>
      <c r="E38" s="752"/>
      <c r="F38" s="46">
        <f>CEILING(N38*1.75,1)</f>
        <v>30</v>
      </c>
      <c r="G38" s="47">
        <f>CEILING(F38*O38,50)</f>
        <v>600</v>
      </c>
      <c r="H38" s="46">
        <f>CEILING(N38*1.6,1)</f>
        <v>28</v>
      </c>
      <c r="I38" s="47">
        <f>CEILING(H38*O38,10)</f>
        <v>560</v>
      </c>
      <c r="J38" s="46">
        <f>CEILING(N38*1.5,0.5)</f>
        <v>25.5</v>
      </c>
      <c r="K38" s="47">
        <f>CEILING(J38*O38,10)</f>
        <v>510</v>
      </c>
      <c r="L38" s="46">
        <f>CEILING(N38*1.4,0.5)</f>
        <v>24</v>
      </c>
      <c r="M38" s="47">
        <f>CEILING(L38*O38,10)</f>
        <v>480</v>
      </c>
      <c r="N38" s="604">
        <v>16.95</v>
      </c>
      <c r="O38" s="416">
        <v>20</v>
      </c>
      <c r="P38" s="273"/>
      <c r="Q38" s="245"/>
      <c r="R38" s="487"/>
    </row>
    <row r="39" spans="1:18" ht="17.25" customHeight="1">
      <c r="A39" s="706" t="s">
        <v>518</v>
      </c>
      <c r="B39" s="707"/>
      <c r="C39" s="707"/>
      <c r="D39" s="707" t="s">
        <v>30</v>
      </c>
      <c r="E39" s="708" t="s">
        <v>31</v>
      </c>
      <c r="F39" s="48">
        <f>CEILING(N39*1.75,1)</f>
        <v>30</v>
      </c>
      <c r="G39" s="49">
        <f>CEILING(F39*O39,50)</f>
        <v>900</v>
      </c>
      <c r="H39" s="48">
        <f>CEILING(N39*1.6,1)</f>
        <v>28</v>
      </c>
      <c r="I39" s="49">
        <f>CEILING(H39*O39,10)</f>
        <v>840</v>
      </c>
      <c r="J39" s="48">
        <f>CEILING(N39*1.5,0.5)</f>
        <v>25.5</v>
      </c>
      <c r="K39" s="49">
        <f>CEILING(J39*O39,10)</f>
        <v>770</v>
      </c>
      <c r="L39" s="48">
        <f>CEILING(N39*1.4,0.5)</f>
        <v>24</v>
      </c>
      <c r="M39" s="49">
        <f>CEILING(L39*O39,10)</f>
        <v>720</v>
      </c>
      <c r="N39" s="604">
        <v>16.95</v>
      </c>
      <c r="O39" s="416">
        <v>30</v>
      </c>
      <c r="P39" s="273"/>
      <c r="Q39" s="246"/>
      <c r="R39" s="488"/>
    </row>
    <row r="40" spans="1:18" ht="17.25" customHeight="1" thickBot="1">
      <c r="A40" s="753" t="s">
        <v>520</v>
      </c>
      <c r="B40" s="754"/>
      <c r="C40" s="754"/>
      <c r="D40" s="754" t="s">
        <v>30</v>
      </c>
      <c r="E40" s="755" t="s">
        <v>31</v>
      </c>
      <c r="F40" s="50">
        <f>CEILING(N40*1.75,1)</f>
        <v>30</v>
      </c>
      <c r="G40" s="51">
        <f>CEILING(F40*O40,50)</f>
        <v>1200</v>
      </c>
      <c r="H40" s="50">
        <f>CEILING(N40*1.6,1)</f>
        <v>28</v>
      </c>
      <c r="I40" s="51">
        <f>CEILING(H40*O40,10)</f>
        <v>1120</v>
      </c>
      <c r="J40" s="50">
        <f>CEILING(N40*1.5,0.5)</f>
        <v>25.5</v>
      </c>
      <c r="K40" s="51">
        <f>CEILING(J40*O40,10)</f>
        <v>1020</v>
      </c>
      <c r="L40" s="50">
        <f>CEILING(N40*1.4,0.5)</f>
        <v>24</v>
      </c>
      <c r="M40" s="51">
        <f>CEILING(L40*O40,10)</f>
        <v>960</v>
      </c>
      <c r="N40" s="604">
        <v>16.95</v>
      </c>
      <c r="O40" s="416">
        <v>40</v>
      </c>
      <c r="P40" s="273"/>
      <c r="Q40" s="246"/>
      <c r="R40" s="488"/>
    </row>
    <row r="41" spans="1:18" ht="46.5" customHeight="1" thickTop="1">
      <c r="A41" s="659" t="s">
        <v>663</v>
      </c>
      <c r="B41" s="659"/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411"/>
      <c r="O41" s="416"/>
      <c r="P41" s="273"/>
      <c r="Q41" s="225"/>
      <c r="R41" s="225"/>
    </row>
    <row r="42" spans="1:18" ht="17.25" customHeight="1">
      <c r="A42" s="670" t="s">
        <v>96</v>
      </c>
      <c r="B42" s="671"/>
      <c r="C42" s="671"/>
      <c r="D42" s="671"/>
      <c r="E42" s="672"/>
      <c r="F42" s="701" t="s">
        <v>48</v>
      </c>
      <c r="G42" s="702"/>
      <c r="H42" s="701" t="s">
        <v>45</v>
      </c>
      <c r="I42" s="702"/>
      <c r="J42" s="701" t="s">
        <v>46</v>
      </c>
      <c r="K42" s="702"/>
      <c r="L42" s="701" t="s">
        <v>47</v>
      </c>
      <c r="M42" s="702"/>
      <c r="N42" s="275" t="s">
        <v>16</v>
      </c>
      <c r="O42" s="333"/>
      <c r="P42" s="275"/>
      <c r="Q42" s="758"/>
      <c r="R42" s="759"/>
    </row>
    <row r="43" spans="1:18" ht="17.25" customHeight="1" thickBot="1">
      <c r="A43" s="663"/>
      <c r="B43" s="664"/>
      <c r="C43" s="664"/>
      <c r="D43" s="664"/>
      <c r="E43" s="665"/>
      <c r="F43" s="182" t="s">
        <v>37</v>
      </c>
      <c r="G43" s="183" t="s">
        <v>26</v>
      </c>
      <c r="H43" s="182" t="s">
        <v>37</v>
      </c>
      <c r="I43" s="183" t="s">
        <v>26</v>
      </c>
      <c r="J43" s="182" t="s">
        <v>37</v>
      </c>
      <c r="K43" s="183" t="s">
        <v>26</v>
      </c>
      <c r="L43" s="182" t="s">
        <v>37</v>
      </c>
      <c r="M43" s="183" t="s">
        <v>26</v>
      </c>
      <c r="N43" s="44" t="s">
        <v>515</v>
      </c>
      <c r="O43" s="380" t="s">
        <v>65</v>
      </c>
      <c r="P43" s="273"/>
      <c r="Q43" s="229"/>
      <c r="R43" s="461"/>
    </row>
    <row r="44" spans="1:18" ht="17.25" customHeight="1" thickTop="1">
      <c r="A44" s="530" t="s">
        <v>506</v>
      </c>
      <c r="B44" s="375"/>
      <c r="C44" s="518" t="s">
        <v>593</v>
      </c>
      <c r="D44" s="376"/>
      <c r="E44" s="377"/>
      <c r="F44" s="52">
        <f>CEILING(N44*1.5,0.1)</f>
        <v>14.4</v>
      </c>
      <c r="G44" s="53">
        <f>CEILING(O44*1.5,10)</f>
        <v>870</v>
      </c>
      <c r="H44" s="52">
        <f>CEILING(N44*1.4,0.1)</f>
        <v>13.5</v>
      </c>
      <c r="I44" s="53">
        <f aca="true" t="shared" si="9" ref="I44:I50">CEILING(O44*1.4,5)</f>
        <v>810</v>
      </c>
      <c r="J44" s="52">
        <f>CEILING(N44*1.3,0.1)</f>
        <v>12.5</v>
      </c>
      <c r="K44" s="53">
        <f>CEILING(O44*1.3,5)</f>
        <v>750</v>
      </c>
      <c r="L44" s="52">
        <f>CEILING(N44*1.2,0.1)</f>
        <v>11.600000000000001</v>
      </c>
      <c r="M44" s="53">
        <f>CEILING(O44*1.2,5)</f>
        <v>695</v>
      </c>
      <c r="N44" s="381">
        <f>O44/P44</f>
        <v>9.6</v>
      </c>
      <c r="O44" s="381">
        <v>576</v>
      </c>
      <c r="P44" s="339">
        <v>60</v>
      </c>
      <c r="Q44" s="235"/>
      <c r="R44" s="474"/>
    </row>
    <row r="45" spans="1:18" ht="17.25" customHeight="1">
      <c r="A45" s="531"/>
      <c r="B45" s="373"/>
      <c r="C45" s="517" t="s">
        <v>517</v>
      </c>
      <c r="D45" s="378"/>
      <c r="E45" s="374"/>
      <c r="F45" s="52">
        <f aca="true" t="shared" si="10" ref="F45:F50">CEILING(N45*1.5,0.1)</f>
        <v>38.300000000000004</v>
      </c>
      <c r="G45" s="53">
        <f aca="true" t="shared" si="11" ref="G45:G50">CEILING(O45*1.5,10)</f>
        <v>2870</v>
      </c>
      <c r="H45" s="52">
        <f aca="true" t="shared" si="12" ref="H45:H50">CEILING(N45*1.4,0.5)</f>
        <v>36</v>
      </c>
      <c r="I45" s="53">
        <f t="shared" si="9"/>
        <v>2680</v>
      </c>
      <c r="J45" s="52">
        <f aca="true" t="shared" si="13" ref="J45:J50">CEILING(N45*1.3,0.1)</f>
        <v>33.2</v>
      </c>
      <c r="K45" s="53">
        <f aca="true" t="shared" si="14" ref="K45:K50">CEILING(O45*1.3,5)</f>
        <v>2490</v>
      </c>
      <c r="L45" s="52">
        <f aca="true" t="shared" si="15" ref="L45:L50">CEILING(N45*1.2,0.1)</f>
        <v>30.6</v>
      </c>
      <c r="M45" s="53">
        <f aca="true" t="shared" si="16" ref="M45:M50">CEILING(O45*1.2,5)</f>
        <v>2295</v>
      </c>
      <c r="N45" s="381">
        <f aca="true" t="shared" si="17" ref="N45:N50">O45/P45</f>
        <v>25.5</v>
      </c>
      <c r="O45" s="279">
        <v>1912.5</v>
      </c>
      <c r="P45" s="339">
        <v>75</v>
      </c>
      <c r="Q45" s="246"/>
      <c r="R45" s="474"/>
    </row>
    <row r="46" spans="1:18" ht="17.25" customHeight="1">
      <c r="A46" s="532"/>
      <c r="B46" s="385"/>
      <c r="C46" s="516" t="s">
        <v>510</v>
      </c>
      <c r="D46" s="385"/>
      <c r="E46" s="386"/>
      <c r="F46" s="64">
        <f t="shared" si="10"/>
        <v>16.8</v>
      </c>
      <c r="G46" s="63">
        <f t="shared" si="11"/>
        <v>1010</v>
      </c>
      <c r="H46" s="64">
        <f t="shared" si="12"/>
        <v>16</v>
      </c>
      <c r="I46" s="63">
        <f t="shared" si="9"/>
        <v>945</v>
      </c>
      <c r="J46" s="64">
        <f t="shared" si="13"/>
        <v>14.600000000000001</v>
      </c>
      <c r="K46" s="63">
        <f t="shared" si="14"/>
        <v>875</v>
      </c>
      <c r="L46" s="64">
        <f t="shared" si="15"/>
        <v>13.5</v>
      </c>
      <c r="M46" s="63">
        <f t="shared" si="16"/>
        <v>810</v>
      </c>
      <c r="N46" s="381">
        <f t="shared" si="17"/>
        <v>11.2</v>
      </c>
      <c r="O46" s="279">
        <v>672</v>
      </c>
      <c r="P46" s="339">
        <v>60</v>
      </c>
      <c r="Q46" s="246"/>
      <c r="R46" s="474"/>
    </row>
    <row r="47" spans="1:18" ht="17.25" customHeight="1">
      <c r="A47" s="533" t="s">
        <v>704</v>
      </c>
      <c r="B47" s="382"/>
      <c r="C47" s="515" t="s">
        <v>508</v>
      </c>
      <c r="D47" s="383"/>
      <c r="E47" s="384"/>
      <c r="F47" s="52">
        <f t="shared" si="10"/>
        <v>11.9</v>
      </c>
      <c r="G47" s="53">
        <f t="shared" si="11"/>
        <v>720</v>
      </c>
      <c r="H47" s="52">
        <f t="shared" si="12"/>
        <v>11.5</v>
      </c>
      <c r="I47" s="53">
        <f t="shared" si="9"/>
        <v>665</v>
      </c>
      <c r="J47" s="52">
        <f t="shared" si="13"/>
        <v>10.3</v>
      </c>
      <c r="K47" s="53">
        <f t="shared" si="14"/>
        <v>620</v>
      </c>
      <c r="L47" s="52">
        <f t="shared" si="15"/>
        <v>9.5</v>
      </c>
      <c r="M47" s="53">
        <f t="shared" si="16"/>
        <v>570</v>
      </c>
      <c r="N47" s="381">
        <f t="shared" si="17"/>
        <v>7.9</v>
      </c>
      <c r="O47" s="279">
        <v>474</v>
      </c>
      <c r="P47" s="339">
        <v>60</v>
      </c>
      <c r="Q47" s="246"/>
      <c r="R47" s="474"/>
    </row>
    <row r="48" spans="1:18" ht="17.25" customHeight="1">
      <c r="A48" s="532"/>
      <c r="B48" s="385"/>
      <c r="C48" s="516" t="s">
        <v>509</v>
      </c>
      <c r="D48" s="385"/>
      <c r="E48" s="386"/>
      <c r="F48" s="64">
        <f t="shared" si="10"/>
        <v>15.8</v>
      </c>
      <c r="G48" s="63">
        <f t="shared" si="11"/>
        <v>950</v>
      </c>
      <c r="H48" s="64">
        <f t="shared" si="12"/>
        <v>15</v>
      </c>
      <c r="I48" s="63">
        <f t="shared" si="9"/>
        <v>885</v>
      </c>
      <c r="J48" s="64">
        <f t="shared" si="13"/>
        <v>13.700000000000001</v>
      </c>
      <c r="K48" s="63">
        <f t="shared" si="14"/>
        <v>820</v>
      </c>
      <c r="L48" s="64">
        <f t="shared" si="15"/>
        <v>12.600000000000001</v>
      </c>
      <c r="M48" s="63">
        <f t="shared" si="16"/>
        <v>760</v>
      </c>
      <c r="N48" s="381">
        <f t="shared" si="17"/>
        <v>10.5</v>
      </c>
      <c r="O48" s="279">
        <v>630</v>
      </c>
      <c r="P48" s="339">
        <v>60</v>
      </c>
      <c r="Q48" s="246"/>
      <c r="R48" s="474"/>
    </row>
    <row r="49" spans="1:18" ht="17.25" customHeight="1">
      <c r="A49" s="534" t="s">
        <v>511</v>
      </c>
      <c r="B49" s="387"/>
      <c r="C49" s="536" t="s">
        <v>512</v>
      </c>
      <c r="D49" s="388"/>
      <c r="E49" s="389"/>
      <c r="F49" s="66">
        <f t="shared" si="10"/>
        <v>18.2</v>
      </c>
      <c r="G49" s="390">
        <f t="shared" si="11"/>
        <v>1090</v>
      </c>
      <c r="H49" s="66">
        <f t="shared" si="12"/>
        <v>17</v>
      </c>
      <c r="I49" s="390">
        <f t="shared" si="9"/>
        <v>1020</v>
      </c>
      <c r="J49" s="66">
        <f t="shared" si="13"/>
        <v>15.8</v>
      </c>
      <c r="K49" s="390">
        <f t="shared" si="14"/>
        <v>945</v>
      </c>
      <c r="L49" s="66">
        <f t="shared" si="15"/>
        <v>14.600000000000001</v>
      </c>
      <c r="M49" s="390">
        <f t="shared" si="16"/>
        <v>875</v>
      </c>
      <c r="N49" s="381">
        <f t="shared" si="17"/>
        <v>12.1</v>
      </c>
      <c r="O49" s="279">
        <v>726</v>
      </c>
      <c r="P49" s="339">
        <v>60</v>
      </c>
      <c r="Q49" s="246"/>
      <c r="R49" s="474"/>
    </row>
    <row r="50" spans="1:18" ht="17.25" customHeight="1" thickBot="1">
      <c r="A50" s="535" t="s">
        <v>514</v>
      </c>
      <c r="B50" s="391"/>
      <c r="C50" s="537" t="s">
        <v>556</v>
      </c>
      <c r="D50" s="391"/>
      <c r="E50" s="392"/>
      <c r="F50" s="298">
        <f t="shared" si="10"/>
        <v>135</v>
      </c>
      <c r="G50" s="299">
        <f t="shared" si="11"/>
        <v>10130</v>
      </c>
      <c r="H50" s="298">
        <f t="shared" si="12"/>
        <v>126</v>
      </c>
      <c r="I50" s="299">
        <f t="shared" si="9"/>
        <v>9450</v>
      </c>
      <c r="J50" s="298">
        <f t="shared" si="13"/>
        <v>117</v>
      </c>
      <c r="K50" s="299">
        <f t="shared" si="14"/>
        <v>8775</v>
      </c>
      <c r="L50" s="298">
        <f t="shared" si="15"/>
        <v>108</v>
      </c>
      <c r="M50" s="299">
        <f t="shared" si="16"/>
        <v>8100</v>
      </c>
      <c r="N50" s="381">
        <f t="shared" si="17"/>
        <v>90</v>
      </c>
      <c r="O50" s="279">
        <v>6750</v>
      </c>
      <c r="P50" s="339">
        <v>75</v>
      </c>
      <c r="Q50" s="246"/>
      <c r="R50" s="474"/>
    </row>
    <row r="51" spans="1:18" ht="46.5" customHeight="1" thickTop="1">
      <c r="A51" s="998" t="s">
        <v>579</v>
      </c>
      <c r="B51" s="998"/>
      <c r="C51" s="998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411"/>
      <c r="O51" s="416"/>
      <c r="P51" s="273"/>
      <c r="Q51" s="225"/>
      <c r="R51" s="225"/>
    </row>
    <row r="52" spans="1:18" ht="17.25" customHeight="1">
      <c r="A52" s="803" t="s">
        <v>84</v>
      </c>
      <c r="B52" s="670" t="s">
        <v>85</v>
      </c>
      <c r="C52" s="671"/>
      <c r="D52" s="672"/>
      <c r="E52" s="185" t="s">
        <v>495</v>
      </c>
      <c r="F52" s="701" t="s">
        <v>48</v>
      </c>
      <c r="G52" s="702"/>
      <c r="H52" s="701" t="s">
        <v>45</v>
      </c>
      <c r="I52" s="702"/>
      <c r="J52" s="701" t="s">
        <v>46</v>
      </c>
      <c r="K52" s="702"/>
      <c r="L52" s="701" t="s">
        <v>47</v>
      </c>
      <c r="M52" s="702"/>
      <c r="N52" s="999" t="s">
        <v>83</v>
      </c>
      <c r="O52" s="1000"/>
      <c r="P52" s="273"/>
      <c r="Q52" s="758"/>
      <c r="R52" s="759"/>
    </row>
    <row r="53" spans="1:18" ht="17.25" customHeight="1" thickBot="1">
      <c r="A53" s="804"/>
      <c r="B53" s="663"/>
      <c r="C53" s="664"/>
      <c r="D53" s="665"/>
      <c r="E53" s="188" t="s">
        <v>496</v>
      </c>
      <c r="F53" s="182" t="s">
        <v>27</v>
      </c>
      <c r="G53" s="183" t="s">
        <v>26</v>
      </c>
      <c r="H53" s="182" t="s">
        <v>27</v>
      </c>
      <c r="I53" s="183" t="s">
        <v>26</v>
      </c>
      <c r="J53" s="182" t="s">
        <v>27</v>
      </c>
      <c r="K53" s="183" t="s">
        <v>26</v>
      </c>
      <c r="L53" s="182" t="s">
        <v>27</v>
      </c>
      <c r="M53" s="183" t="s">
        <v>26</v>
      </c>
      <c r="N53" s="605" t="s">
        <v>252</v>
      </c>
      <c r="O53" s="606" t="s">
        <v>65</v>
      </c>
      <c r="P53" s="273"/>
      <c r="Q53" s="229"/>
      <c r="R53" s="461"/>
    </row>
    <row r="54" spans="1:18" ht="17.25" customHeight="1" thickTop="1">
      <c r="A54" s="607" t="s">
        <v>178</v>
      </c>
      <c r="B54" s="1001" t="s">
        <v>251</v>
      </c>
      <c r="C54" s="1002"/>
      <c r="D54" s="1003"/>
      <c r="E54" s="344" t="s">
        <v>212</v>
      </c>
      <c r="F54" s="435">
        <f>G54/P54</f>
        <v>44</v>
      </c>
      <c r="G54" s="457">
        <f>CEILING(O54*1.3,10)</f>
        <v>2200</v>
      </c>
      <c r="H54" s="435">
        <f>I54/P54</f>
        <v>42.3</v>
      </c>
      <c r="I54" s="457">
        <f>CEILING(O54*1.25,5)</f>
        <v>2115</v>
      </c>
      <c r="J54" s="435">
        <f>K54/P54</f>
        <v>40.6</v>
      </c>
      <c r="K54" s="457">
        <f>CEILING(O54*1.2,5)</f>
        <v>2030</v>
      </c>
      <c r="L54" s="435">
        <f>M54/P54</f>
        <v>38.9</v>
      </c>
      <c r="M54" s="457">
        <f>CEILING(O54*1.15,5)</f>
        <v>1945</v>
      </c>
      <c r="N54" s="608">
        <v>20</v>
      </c>
      <c r="O54" s="442">
        <v>1690</v>
      </c>
      <c r="P54" s="437">
        <v>50</v>
      </c>
      <c r="Q54" s="438"/>
      <c r="R54" s="494"/>
    </row>
    <row r="55" spans="1:18" ht="17.25" customHeight="1">
      <c r="A55" s="609" t="s">
        <v>474</v>
      </c>
      <c r="B55" s="1004" t="s">
        <v>472</v>
      </c>
      <c r="C55" s="1005"/>
      <c r="D55" s="1006"/>
      <c r="E55" s="345" t="s">
        <v>71</v>
      </c>
      <c r="F55" s="328">
        <f aca="true" t="shared" si="18" ref="F55:F62">G55/P55</f>
        <v>23.5</v>
      </c>
      <c r="G55" s="429">
        <f aca="true" t="shared" si="19" ref="G55:G62">CEILING(O55*1.3,10)</f>
        <v>2350</v>
      </c>
      <c r="H55" s="328">
        <f aca="true" t="shared" si="20" ref="H55:H62">I55/P55</f>
        <v>22.55</v>
      </c>
      <c r="I55" s="429">
        <f aca="true" t="shared" si="21" ref="I55:I62">CEILING(O55*1.25,5)</f>
        <v>2255</v>
      </c>
      <c r="J55" s="328">
        <f aca="true" t="shared" si="22" ref="J55:J62">K55/P55</f>
        <v>21.65</v>
      </c>
      <c r="K55" s="429">
        <f aca="true" t="shared" si="23" ref="K55:K62">CEILING(O55*1.2,5)</f>
        <v>2165</v>
      </c>
      <c r="L55" s="328">
        <f aca="true" t="shared" si="24" ref="L55:L62">M55/P55</f>
        <v>20.72</v>
      </c>
      <c r="M55" s="429">
        <f aca="true" t="shared" si="25" ref="M55:M62">CEILING(O55*1.15,1)</f>
        <v>2072</v>
      </c>
      <c r="N55" s="608"/>
      <c r="O55" s="442">
        <v>1801</v>
      </c>
      <c r="P55" s="437">
        <v>100</v>
      </c>
      <c r="Q55" s="449"/>
      <c r="R55" s="495"/>
    </row>
    <row r="56" spans="1:18" ht="17.25" customHeight="1">
      <c r="A56" s="610" t="s">
        <v>473</v>
      </c>
      <c r="B56" s="1007" t="s">
        <v>72</v>
      </c>
      <c r="C56" s="1008"/>
      <c r="D56" s="1009"/>
      <c r="E56" s="343" t="s">
        <v>71</v>
      </c>
      <c r="F56" s="175">
        <f t="shared" si="18"/>
        <v>35.9</v>
      </c>
      <c r="G56" s="429">
        <f t="shared" si="19"/>
        <v>3590</v>
      </c>
      <c r="H56" s="175">
        <f t="shared" si="20"/>
        <v>34.5</v>
      </c>
      <c r="I56" s="429">
        <f t="shared" si="21"/>
        <v>3450</v>
      </c>
      <c r="J56" s="175">
        <f t="shared" si="22"/>
        <v>33.1</v>
      </c>
      <c r="K56" s="429">
        <f t="shared" si="23"/>
        <v>3310</v>
      </c>
      <c r="L56" s="175">
        <f t="shared" si="24"/>
        <v>31.71</v>
      </c>
      <c r="M56" s="429">
        <f t="shared" si="25"/>
        <v>3171</v>
      </c>
      <c r="N56" s="608"/>
      <c r="O56" s="442">
        <v>2757</v>
      </c>
      <c r="P56" s="437">
        <v>100</v>
      </c>
      <c r="Q56" s="449"/>
      <c r="R56" s="495"/>
    </row>
    <row r="57" spans="1:18" ht="17.25" customHeight="1">
      <c r="A57" s="611" t="s">
        <v>475</v>
      </c>
      <c r="B57" s="1010" t="s">
        <v>73</v>
      </c>
      <c r="C57" s="1011"/>
      <c r="D57" s="1012"/>
      <c r="E57" s="344" t="s">
        <v>71</v>
      </c>
      <c r="F57" s="176">
        <f t="shared" si="18"/>
        <v>37.7</v>
      </c>
      <c r="G57" s="434">
        <f t="shared" si="19"/>
        <v>3770</v>
      </c>
      <c r="H57" s="176">
        <f t="shared" si="20"/>
        <v>36.2</v>
      </c>
      <c r="I57" s="434">
        <f t="shared" si="21"/>
        <v>3620</v>
      </c>
      <c r="J57" s="176">
        <f t="shared" si="22"/>
        <v>34.75</v>
      </c>
      <c r="K57" s="434">
        <f t="shared" si="23"/>
        <v>3475</v>
      </c>
      <c r="L57" s="176">
        <f t="shared" si="24"/>
        <v>33.3</v>
      </c>
      <c r="M57" s="434">
        <f t="shared" si="25"/>
        <v>3330</v>
      </c>
      <c r="N57" s="608"/>
      <c r="O57" s="442">
        <v>2895</v>
      </c>
      <c r="P57" s="437">
        <v>100</v>
      </c>
      <c r="Q57" s="452"/>
      <c r="R57" s="496"/>
    </row>
    <row r="58" spans="1:18" ht="17.25" customHeight="1">
      <c r="A58" s="421" t="s">
        <v>582</v>
      </c>
      <c r="B58" s="1004" t="s">
        <v>210</v>
      </c>
      <c r="C58" s="1005"/>
      <c r="D58" s="1006"/>
      <c r="E58" s="346" t="s">
        <v>68</v>
      </c>
      <c r="F58" s="454">
        <f t="shared" si="18"/>
        <v>207</v>
      </c>
      <c r="G58" s="429">
        <f t="shared" si="19"/>
        <v>2070</v>
      </c>
      <c r="H58" s="454">
        <f t="shared" si="20"/>
        <v>198.5</v>
      </c>
      <c r="I58" s="429">
        <f t="shared" si="21"/>
        <v>1985</v>
      </c>
      <c r="J58" s="454">
        <f t="shared" si="22"/>
        <v>190.5</v>
      </c>
      <c r="K58" s="429">
        <f t="shared" si="23"/>
        <v>1905</v>
      </c>
      <c r="L58" s="454">
        <f t="shared" si="24"/>
        <v>182.4</v>
      </c>
      <c r="M58" s="429">
        <f t="shared" si="25"/>
        <v>1824</v>
      </c>
      <c r="N58" s="608"/>
      <c r="O58" s="442">
        <v>1586</v>
      </c>
      <c r="P58" s="437">
        <v>10</v>
      </c>
      <c r="Q58" s="455"/>
      <c r="R58" s="498"/>
    </row>
    <row r="59" spans="1:18" ht="17.25" customHeight="1">
      <c r="A59" s="422" t="s">
        <v>583</v>
      </c>
      <c r="B59" s="1010" t="s">
        <v>210</v>
      </c>
      <c r="C59" s="1011"/>
      <c r="D59" s="1012"/>
      <c r="E59" s="344" t="s">
        <v>211</v>
      </c>
      <c r="F59" s="176">
        <f t="shared" si="18"/>
        <v>206.4</v>
      </c>
      <c r="G59" s="434">
        <f t="shared" si="19"/>
        <v>5160</v>
      </c>
      <c r="H59" s="176">
        <f t="shared" si="20"/>
        <v>198.4</v>
      </c>
      <c r="I59" s="434">
        <f t="shared" si="21"/>
        <v>4960</v>
      </c>
      <c r="J59" s="176">
        <f t="shared" si="22"/>
        <v>190.4</v>
      </c>
      <c r="K59" s="434">
        <f t="shared" si="23"/>
        <v>4760</v>
      </c>
      <c r="L59" s="176">
        <f t="shared" si="24"/>
        <v>182.4</v>
      </c>
      <c r="M59" s="434">
        <f t="shared" si="25"/>
        <v>4560</v>
      </c>
      <c r="N59" s="608"/>
      <c r="O59" s="442">
        <v>3965</v>
      </c>
      <c r="P59" s="437">
        <v>25</v>
      </c>
      <c r="Q59" s="449"/>
      <c r="R59" s="495"/>
    </row>
    <row r="60" spans="1:18" ht="17.25" customHeight="1">
      <c r="A60" s="519" t="s">
        <v>622</v>
      </c>
      <c r="B60" s="1004" t="s">
        <v>497</v>
      </c>
      <c r="C60" s="1005"/>
      <c r="D60" s="1006"/>
      <c r="E60" s="419" t="s">
        <v>498</v>
      </c>
      <c r="F60" s="328">
        <f t="shared" si="18"/>
        <v>50.3</v>
      </c>
      <c r="G60" s="433">
        <f t="shared" si="19"/>
        <v>5030</v>
      </c>
      <c r="H60" s="328">
        <f t="shared" si="20"/>
        <v>48.3</v>
      </c>
      <c r="I60" s="433">
        <f t="shared" si="21"/>
        <v>4830</v>
      </c>
      <c r="J60" s="328">
        <f t="shared" si="22"/>
        <v>46.35</v>
      </c>
      <c r="K60" s="433">
        <f t="shared" si="23"/>
        <v>4635</v>
      </c>
      <c r="L60" s="328">
        <f t="shared" si="24"/>
        <v>44.42</v>
      </c>
      <c r="M60" s="433">
        <f t="shared" si="25"/>
        <v>4442</v>
      </c>
      <c r="N60" s="608"/>
      <c r="O60" s="442">
        <v>3862</v>
      </c>
      <c r="P60" s="437">
        <v>100</v>
      </c>
      <c r="Q60" s="456"/>
      <c r="R60" s="499"/>
    </row>
    <row r="61" spans="1:18" ht="17.25" customHeight="1">
      <c r="A61" s="520" t="s">
        <v>623</v>
      </c>
      <c r="B61" s="1007" t="s">
        <v>499</v>
      </c>
      <c r="C61" s="1008"/>
      <c r="D61" s="1009"/>
      <c r="E61" s="364" t="s">
        <v>501</v>
      </c>
      <c r="F61" s="175">
        <f t="shared" si="18"/>
        <v>59.8</v>
      </c>
      <c r="G61" s="429">
        <f t="shared" si="19"/>
        <v>2990</v>
      </c>
      <c r="H61" s="175">
        <f t="shared" si="20"/>
        <v>57.5</v>
      </c>
      <c r="I61" s="429">
        <f t="shared" si="21"/>
        <v>2875</v>
      </c>
      <c r="J61" s="175">
        <f t="shared" si="22"/>
        <v>55.2</v>
      </c>
      <c r="K61" s="429">
        <f t="shared" si="23"/>
        <v>2760</v>
      </c>
      <c r="L61" s="175">
        <f t="shared" si="24"/>
        <v>52.9</v>
      </c>
      <c r="M61" s="429">
        <f t="shared" si="25"/>
        <v>2645</v>
      </c>
      <c r="N61" s="608"/>
      <c r="O61" s="442">
        <v>2300</v>
      </c>
      <c r="P61" s="437">
        <v>50</v>
      </c>
      <c r="Q61" s="456"/>
      <c r="R61" s="499"/>
    </row>
    <row r="62" spans="1:18" ht="17.25" customHeight="1" thickBot="1">
      <c r="A62" s="521" t="s">
        <v>624</v>
      </c>
      <c r="B62" s="1013" t="s">
        <v>500</v>
      </c>
      <c r="C62" s="1014"/>
      <c r="D62" s="1015"/>
      <c r="E62" s="347" t="s">
        <v>501</v>
      </c>
      <c r="F62" s="372">
        <f t="shared" si="18"/>
        <v>57.2</v>
      </c>
      <c r="G62" s="430">
        <f t="shared" si="19"/>
        <v>2860</v>
      </c>
      <c r="H62" s="372">
        <f t="shared" si="20"/>
        <v>55</v>
      </c>
      <c r="I62" s="430">
        <f t="shared" si="21"/>
        <v>2750</v>
      </c>
      <c r="J62" s="372">
        <f t="shared" si="22"/>
        <v>52.8</v>
      </c>
      <c r="K62" s="430">
        <f t="shared" si="23"/>
        <v>2640</v>
      </c>
      <c r="L62" s="372">
        <f t="shared" si="24"/>
        <v>50.6</v>
      </c>
      <c r="M62" s="430">
        <f t="shared" si="25"/>
        <v>2530</v>
      </c>
      <c r="N62" s="608"/>
      <c r="O62" s="442">
        <v>2200</v>
      </c>
      <c r="P62" s="437">
        <v>50</v>
      </c>
      <c r="Q62" s="456"/>
      <c r="R62" s="499"/>
    </row>
    <row r="63" spans="1:18" ht="15.75" thickTop="1">
      <c r="A63" s="612"/>
      <c r="B63" s="613"/>
      <c r="C63" s="613"/>
      <c r="D63" s="613"/>
      <c r="E63" s="614"/>
      <c r="F63" s="615"/>
      <c r="G63" s="616"/>
      <c r="H63" s="615"/>
      <c r="I63" s="616"/>
      <c r="J63" s="615"/>
      <c r="K63" s="616"/>
      <c r="L63" s="615"/>
      <c r="M63" s="616"/>
      <c r="N63" s="608"/>
      <c r="O63" s="442"/>
      <c r="P63" s="437"/>
      <c r="Q63" s="617"/>
      <c r="R63" s="618"/>
    </row>
    <row r="64" spans="1:18" ht="15">
      <c r="A64" s="612"/>
      <c r="B64" s="613"/>
      <c r="C64" s="613"/>
      <c r="D64" s="613"/>
      <c r="E64" s="614"/>
      <c r="F64" s="615"/>
      <c r="G64" s="616"/>
      <c r="H64" s="615"/>
      <c r="I64" s="616"/>
      <c r="J64" s="615"/>
      <c r="K64" s="616"/>
      <c r="L64" s="615"/>
      <c r="M64" s="616"/>
      <c r="N64" s="608"/>
      <c r="O64" s="442"/>
      <c r="P64" s="437"/>
      <c r="Q64" s="617"/>
      <c r="R64" s="618"/>
    </row>
    <row r="65" spans="1:18" ht="15">
      <c r="A65" s="612"/>
      <c r="B65" s="613"/>
      <c r="C65" s="613"/>
      <c r="D65" s="613"/>
      <c r="E65" s="614"/>
      <c r="F65" s="615"/>
      <c r="G65" s="616"/>
      <c r="H65" s="615"/>
      <c r="I65" s="616"/>
      <c r="J65" s="615"/>
      <c r="K65" s="616"/>
      <c r="L65" s="615"/>
      <c r="M65" s="616"/>
      <c r="N65" s="608"/>
      <c r="O65" s="442"/>
      <c r="P65" s="437"/>
      <c r="Q65" s="617"/>
      <c r="R65" s="618"/>
    </row>
    <row r="66" spans="1:18" ht="15">
      <c r="A66" s="612"/>
      <c r="B66" s="613"/>
      <c r="C66" s="613"/>
      <c r="D66" s="613"/>
      <c r="E66" s="614"/>
      <c r="F66" s="615"/>
      <c r="G66" s="616"/>
      <c r="H66" s="615"/>
      <c r="I66" s="616"/>
      <c r="J66" s="615"/>
      <c r="K66" s="616"/>
      <c r="L66" s="615"/>
      <c r="M66" s="616"/>
      <c r="N66" s="608"/>
      <c r="O66" s="442"/>
      <c r="P66" s="437"/>
      <c r="Q66" s="617"/>
      <c r="R66" s="618"/>
    </row>
    <row r="67" spans="1:18" ht="15">
      <c r="A67" s="561"/>
      <c r="B67" s="619"/>
      <c r="C67" s="561"/>
      <c r="D67" s="619"/>
      <c r="E67" s="619"/>
      <c r="F67" s="563"/>
      <c r="G67" s="564"/>
      <c r="H67" s="563"/>
      <c r="I67" s="564"/>
      <c r="J67" s="563"/>
      <c r="K67" s="564"/>
      <c r="L67" s="563"/>
      <c r="M67" s="564"/>
      <c r="N67" s="381"/>
      <c r="O67" s="279"/>
      <c r="P67" s="339"/>
      <c r="Q67" s="620"/>
      <c r="R67" s="621"/>
    </row>
    <row r="68" spans="1:18" ht="26.25">
      <c r="A68" s="659" t="s">
        <v>705</v>
      </c>
      <c r="B68" s="659"/>
      <c r="C68" s="659"/>
      <c r="D68" s="659"/>
      <c r="E68" s="659"/>
      <c r="F68" s="659"/>
      <c r="G68" s="659"/>
      <c r="H68" s="659"/>
      <c r="I68" s="659"/>
      <c r="J68" s="659"/>
      <c r="K68" s="659"/>
      <c r="L68" s="659"/>
      <c r="M68" s="659"/>
      <c r="N68" s="411"/>
      <c r="O68" s="416"/>
      <c r="P68" s="273"/>
      <c r="Q68" s="225"/>
      <c r="R68" s="225"/>
    </row>
    <row r="69" spans="1:18" ht="12.75">
      <c r="A69" s="670" t="s">
        <v>96</v>
      </c>
      <c r="B69" s="671"/>
      <c r="C69" s="671"/>
      <c r="D69" s="671"/>
      <c r="E69" s="672"/>
      <c r="F69" s="701" t="s">
        <v>48</v>
      </c>
      <c r="G69" s="702"/>
      <c r="H69" s="701" t="s">
        <v>45</v>
      </c>
      <c r="I69" s="702"/>
      <c r="J69" s="701" t="s">
        <v>46</v>
      </c>
      <c r="K69" s="702"/>
      <c r="L69" s="701" t="s">
        <v>47</v>
      </c>
      <c r="M69" s="702"/>
      <c r="N69" s="273"/>
      <c r="O69" s="416"/>
      <c r="P69" s="273"/>
      <c r="Q69" s="676"/>
      <c r="R69" s="677"/>
    </row>
    <row r="70" spans="1:18" ht="13.5" thickBot="1">
      <c r="A70" s="663"/>
      <c r="B70" s="664"/>
      <c r="C70" s="664"/>
      <c r="D70" s="664"/>
      <c r="E70" s="665"/>
      <c r="F70" s="182" t="s">
        <v>37</v>
      </c>
      <c r="G70" s="183" t="s">
        <v>41</v>
      </c>
      <c r="H70" s="182" t="s">
        <v>37</v>
      </c>
      <c r="I70" s="183" t="s">
        <v>41</v>
      </c>
      <c r="J70" s="182" t="s">
        <v>37</v>
      </c>
      <c r="K70" s="183" t="s">
        <v>41</v>
      </c>
      <c r="L70" s="182" t="s">
        <v>37</v>
      </c>
      <c r="M70" s="183" t="s">
        <v>41</v>
      </c>
      <c r="N70" s="273"/>
      <c r="O70" s="416"/>
      <c r="P70" s="273"/>
      <c r="Q70" s="316"/>
      <c r="R70" s="491"/>
    </row>
    <row r="71" spans="1:18" ht="13.5" thickTop="1">
      <c r="A71" s="913" t="s">
        <v>706</v>
      </c>
      <c r="B71" s="914"/>
      <c r="C71" s="914"/>
      <c r="D71" s="914"/>
      <c r="E71" s="914"/>
      <c r="F71" s="914"/>
      <c r="G71" s="914"/>
      <c r="H71" s="914"/>
      <c r="I71" s="914"/>
      <c r="J71" s="914"/>
      <c r="K71" s="914"/>
      <c r="L71" s="914"/>
      <c r="M71" s="915"/>
      <c r="N71" s="432">
        <v>30</v>
      </c>
      <c r="O71" s="416"/>
      <c r="P71" s="273"/>
      <c r="Q71" s="317"/>
      <c r="R71" s="492"/>
    </row>
    <row r="72" spans="1:18" ht="15">
      <c r="A72" s="983" t="s">
        <v>394</v>
      </c>
      <c r="B72" s="984"/>
      <c r="C72" s="984"/>
      <c r="D72" s="984"/>
      <c r="E72" s="985"/>
      <c r="F72" s="52">
        <v>20</v>
      </c>
      <c r="G72" s="53">
        <f>F72*O72</f>
        <v>120</v>
      </c>
      <c r="H72" s="52">
        <f>CEILING(F72*0.9,1)</f>
        <v>18</v>
      </c>
      <c r="I72" s="53">
        <f>G72*0.9</f>
        <v>108</v>
      </c>
      <c r="J72" s="52">
        <f>FLOOR(F72*0.85,1)</f>
        <v>17</v>
      </c>
      <c r="K72" s="53">
        <f>G72*0.85</f>
        <v>102</v>
      </c>
      <c r="L72" s="52">
        <f>CEILING(F72*0.8,0.5)</f>
        <v>16</v>
      </c>
      <c r="M72" s="53">
        <f>G72*0.8</f>
        <v>96</v>
      </c>
      <c r="N72" s="273">
        <f>N71</f>
        <v>30</v>
      </c>
      <c r="O72" s="416">
        <v>6</v>
      </c>
      <c r="P72" s="273"/>
      <c r="Q72" s="235"/>
      <c r="R72" s="474"/>
    </row>
    <row r="73" spans="1:18" ht="15">
      <c r="A73" s="706" t="s">
        <v>395</v>
      </c>
      <c r="B73" s="707"/>
      <c r="C73" s="707"/>
      <c r="D73" s="707"/>
      <c r="E73" s="708"/>
      <c r="F73" s="48">
        <v>20</v>
      </c>
      <c r="G73" s="49">
        <f>F73*O73</f>
        <v>240</v>
      </c>
      <c r="H73" s="52">
        <f>CEILING(F73*0.9,1)</f>
        <v>18</v>
      </c>
      <c r="I73" s="49">
        <f>G73*0.9</f>
        <v>216</v>
      </c>
      <c r="J73" s="52">
        <f>FLOOR(F73*0.85,1)</f>
        <v>17</v>
      </c>
      <c r="K73" s="49">
        <f>G73*0.85</f>
        <v>204</v>
      </c>
      <c r="L73" s="52">
        <f>CEILING(F73*0.8,0.5)</f>
        <v>16</v>
      </c>
      <c r="M73" s="49">
        <f>G73*0.8</f>
        <v>192</v>
      </c>
      <c r="N73" s="273">
        <f>N72</f>
        <v>30</v>
      </c>
      <c r="O73" s="416">
        <v>12</v>
      </c>
      <c r="P73" s="273"/>
      <c r="Q73" s="246"/>
      <c r="R73" s="488"/>
    </row>
    <row r="74" spans="1:18" ht="15">
      <c r="A74" s="706" t="s">
        <v>396</v>
      </c>
      <c r="B74" s="707"/>
      <c r="C74" s="707"/>
      <c r="D74" s="707"/>
      <c r="E74" s="708"/>
      <c r="F74" s="48">
        <v>20</v>
      </c>
      <c r="G74" s="49">
        <f>F74*O74</f>
        <v>300</v>
      </c>
      <c r="H74" s="52">
        <f>CEILING(F74*0.9,1)</f>
        <v>18</v>
      </c>
      <c r="I74" s="49">
        <f>G74*0.9</f>
        <v>270</v>
      </c>
      <c r="J74" s="52">
        <f>FLOOR(F74*0.85,1)</f>
        <v>17</v>
      </c>
      <c r="K74" s="49">
        <f>G74*0.85</f>
        <v>255</v>
      </c>
      <c r="L74" s="52">
        <f>CEILING(F74*0.8,0.5)</f>
        <v>16</v>
      </c>
      <c r="M74" s="49">
        <f>G74*0.8</f>
        <v>240</v>
      </c>
      <c r="N74" s="273">
        <f>N73</f>
        <v>30</v>
      </c>
      <c r="O74" s="416">
        <v>15</v>
      </c>
      <c r="P74" s="273"/>
      <c r="Q74" s="246"/>
      <c r="R74" s="488"/>
    </row>
    <row r="75" spans="1:18" ht="15">
      <c r="A75" s="706" t="s">
        <v>397</v>
      </c>
      <c r="B75" s="707"/>
      <c r="C75" s="707"/>
      <c r="D75" s="707"/>
      <c r="E75" s="708"/>
      <c r="F75" s="48">
        <v>20</v>
      </c>
      <c r="G75" s="49">
        <f>F75*O75</f>
        <v>360</v>
      </c>
      <c r="H75" s="52">
        <f>CEILING(F75*0.9,1)</f>
        <v>18</v>
      </c>
      <c r="I75" s="49">
        <f>G75*0.9</f>
        <v>324</v>
      </c>
      <c r="J75" s="52">
        <f>FLOOR(F75*0.85,1)</f>
        <v>17</v>
      </c>
      <c r="K75" s="49">
        <f>G75*0.85</f>
        <v>306</v>
      </c>
      <c r="L75" s="52">
        <f>CEILING(F75*0.8,0.5)</f>
        <v>16</v>
      </c>
      <c r="M75" s="49">
        <f>G75*0.8</f>
        <v>288</v>
      </c>
      <c r="N75" s="273">
        <f>N74</f>
        <v>30</v>
      </c>
      <c r="O75" s="416">
        <v>18</v>
      </c>
      <c r="P75" s="273"/>
      <c r="Q75" s="246"/>
      <c r="R75" s="488"/>
    </row>
    <row r="76" spans="1:18" ht="15.75" thickBot="1">
      <c r="A76" s="706" t="s">
        <v>398</v>
      </c>
      <c r="B76" s="707"/>
      <c r="C76" s="707"/>
      <c r="D76" s="707"/>
      <c r="E76" s="708"/>
      <c r="F76" s="48">
        <v>20</v>
      </c>
      <c r="G76" s="49">
        <f>F76*O76</f>
        <v>400</v>
      </c>
      <c r="H76" s="52">
        <f>CEILING(F76*0.9,1)</f>
        <v>18</v>
      </c>
      <c r="I76" s="49">
        <f>G76*0.9</f>
        <v>360</v>
      </c>
      <c r="J76" s="52">
        <f>FLOOR(F76*0.85,1)</f>
        <v>17</v>
      </c>
      <c r="K76" s="49">
        <f>G76*0.85</f>
        <v>340</v>
      </c>
      <c r="L76" s="52">
        <f>CEILING(F76*0.8,0.5)</f>
        <v>16</v>
      </c>
      <c r="M76" s="49">
        <f>G76*0.8</f>
        <v>320</v>
      </c>
      <c r="N76" s="273">
        <f>N75</f>
        <v>30</v>
      </c>
      <c r="O76" s="416">
        <v>20</v>
      </c>
      <c r="P76" s="273"/>
      <c r="Q76" s="246"/>
      <c r="R76" s="488"/>
    </row>
    <row r="77" spans="1:18" ht="15.75" thickTop="1">
      <c r="A77" s="913" t="s">
        <v>707</v>
      </c>
      <c r="B77" s="914"/>
      <c r="C77" s="914"/>
      <c r="D77" s="914"/>
      <c r="E77" s="914"/>
      <c r="F77" s="914"/>
      <c r="G77" s="914"/>
      <c r="H77" s="914"/>
      <c r="I77" s="914"/>
      <c r="J77" s="914"/>
      <c r="K77" s="914"/>
      <c r="L77" s="914"/>
      <c r="M77" s="915"/>
      <c r="N77" s="273"/>
      <c r="O77" s="416"/>
      <c r="P77" s="273"/>
      <c r="Q77" s="246"/>
      <c r="R77" s="488"/>
    </row>
    <row r="78" spans="1:18" ht="15">
      <c r="A78" s="983" t="s">
        <v>708</v>
      </c>
      <c r="B78" s="984"/>
      <c r="C78" s="984"/>
      <c r="D78" s="984"/>
      <c r="E78" s="985"/>
      <c r="F78" s="48">
        <v>20</v>
      </c>
      <c r="G78" s="53">
        <f>F78*O78</f>
        <v>120</v>
      </c>
      <c r="H78" s="52">
        <f>CEILING(F78*0.9,1)</f>
        <v>18</v>
      </c>
      <c r="I78" s="53">
        <f>G78*0.9</f>
        <v>108</v>
      </c>
      <c r="J78" s="52">
        <f>FLOOR(F78*0.85,1)</f>
        <v>17</v>
      </c>
      <c r="K78" s="53">
        <f>G78*0.85</f>
        <v>102</v>
      </c>
      <c r="L78" s="52">
        <f>CEILING(F78*0.8,0.5)</f>
        <v>16</v>
      </c>
      <c r="M78" s="53">
        <f>G78*0.8</f>
        <v>96</v>
      </c>
      <c r="N78" s="622">
        <f>N71</f>
        <v>30</v>
      </c>
      <c r="O78" s="416">
        <v>6</v>
      </c>
      <c r="P78" s="273"/>
      <c r="Q78" s="235"/>
      <c r="R78" s="474"/>
    </row>
    <row r="79" spans="1:18" ht="15">
      <c r="A79" s="706" t="s">
        <v>709</v>
      </c>
      <c r="B79" s="707"/>
      <c r="C79" s="707"/>
      <c r="D79" s="707"/>
      <c r="E79" s="708"/>
      <c r="F79" s="48">
        <v>20</v>
      </c>
      <c r="G79" s="49">
        <f>F79*O79</f>
        <v>240</v>
      </c>
      <c r="H79" s="52">
        <f>CEILING(F79*0.9,1)</f>
        <v>18</v>
      </c>
      <c r="I79" s="49">
        <f aca="true" t="shared" si="26" ref="I79:I92">G79*0.9</f>
        <v>216</v>
      </c>
      <c r="J79" s="52">
        <f aca="true" t="shared" si="27" ref="J79:J92">FLOOR(F79*0.85,1)</f>
        <v>17</v>
      </c>
      <c r="K79" s="49">
        <f aca="true" t="shared" si="28" ref="K79:K92">G79*0.85</f>
        <v>204</v>
      </c>
      <c r="L79" s="52">
        <f aca="true" t="shared" si="29" ref="L79:L92">CEILING(F79*0.8,0.5)</f>
        <v>16</v>
      </c>
      <c r="M79" s="49">
        <f aca="true" t="shared" si="30" ref="M79:M92">G79*0.8</f>
        <v>192</v>
      </c>
      <c r="N79" s="273">
        <f aca="true" t="shared" si="31" ref="N79:N92">N78</f>
        <v>30</v>
      </c>
      <c r="O79" s="416">
        <v>12</v>
      </c>
      <c r="P79" s="273"/>
      <c r="Q79" s="246"/>
      <c r="R79" s="488"/>
    </row>
    <row r="80" spans="1:18" ht="15">
      <c r="A80" s="706" t="s">
        <v>710</v>
      </c>
      <c r="B80" s="707"/>
      <c r="C80" s="707"/>
      <c r="D80" s="707"/>
      <c r="E80" s="708"/>
      <c r="F80" s="48">
        <v>20</v>
      </c>
      <c r="G80" s="49">
        <f aca="true" t="shared" si="32" ref="G80:G92">F80*O80</f>
        <v>360</v>
      </c>
      <c r="H80" s="52">
        <f>CEILING(F80*0.9,1)</f>
        <v>18</v>
      </c>
      <c r="I80" s="49">
        <f t="shared" si="26"/>
        <v>324</v>
      </c>
      <c r="J80" s="52">
        <f t="shared" si="27"/>
        <v>17</v>
      </c>
      <c r="K80" s="49">
        <f t="shared" si="28"/>
        <v>306</v>
      </c>
      <c r="L80" s="52">
        <f t="shared" si="29"/>
        <v>16</v>
      </c>
      <c r="M80" s="49">
        <f t="shared" si="30"/>
        <v>288</v>
      </c>
      <c r="N80" s="273">
        <f t="shared" si="31"/>
        <v>30</v>
      </c>
      <c r="O80" s="416">
        <v>18</v>
      </c>
      <c r="P80" s="273"/>
      <c r="Q80" s="246"/>
      <c r="R80" s="488"/>
    </row>
    <row r="81" spans="1:18" ht="15">
      <c r="A81" s="706" t="s">
        <v>711</v>
      </c>
      <c r="B81" s="707"/>
      <c r="C81" s="707"/>
      <c r="D81" s="707"/>
      <c r="E81" s="708"/>
      <c r="F81" s="48">
        <v>20</v>
      </c>
      <c r="G81" s="49">
        <f t="shared" si="32"/>
        <v>400</v>
      </c>
      <c r="H81" s="52">
        <f>CEILING(F81*0.9,1)</f>
        <v>18</v>
      </c>
      <c r="I81" s="49">
        <f t="shared" si="26"/>
        <v>360</v>
      </c>
      <c r="J81" s="52">
        <f t="shared" si="27"/>
        <v>17</v>
      </c>
      <c r="K81" s="49">
        <f t="shared" si="28"/>
        <v>340</v>
      </c>
      <c r="L81" s="52">
        <f t="shared" si="29"/>
        <v>16</v>
      </c>
      <c r="M81" s="49">
        <f t="shared" si="30"/>
        <v>320</v>
      </c>
      <c r="N81" s="273">
        <f t="shared" si="31"/>
        <v>30</v>
      </c>
      <c r="O81" s="416">
        <v>20</v>
      </c>
      <c r="P81" s="273"/>
      <c r="Q81" s="246"/>
      <c r="R81" s="488"/>
    </row>
    <row r="82" spans="1:18" ht="15">
      <c r="A82" s="706" t="s">
        <v>712</v>
      </c>
      <c r="B82" s="707"/>
      <c r="C82" s="707"/>
      <c r="D82" s="707"/>
      <c r="E82" s="708"/>
      <c r="F82" s="48">
        <v>20</v>
      </c>
      <c r="G82" s="49">
        <f t="shared" si="32"/>
        <v>480</v>
      </c>
      <c r="H82" s="52">
        <f>CEILING(F82*0.9,1)</f>
        <v>18</v>
      </c>
      <c r="I82" s="49">
        <f t="shared" si="26"/>
        <v>432</v>
      </c>
      <c r="J82" s="52">
        <f t="shared" si="27"/>
        <v>17</v>
      </c>
      <c r="K82" s="49">
        <f t="shared" si="28"/>
        <v>408</v>
      </c>
      <c r="L82" s="52">
        <f t="shared" si="29"/>
        <v>16</v>
      </c>
      <c r="M82" s="49">
        <f t="shared" si="30"/>
        <v>384</v>
      </c>
      <c r="N82" s="273">
        <f t="shared" si="31"/>
        <v>30</v>
      </c>
      <c r="O82" s="416">
        <v>24</v>
      </c>
      <c r="P82" s="273"/>
      <c r="Q82" s="246"/>
      <c r="R82" s="488"/>
    </row>
    <row r="83" spans="1:18" ht="15">
      <c r="A83" s="706" t="s">
        <v>713</v>
      </c>
      <c r="B83" s="707"/>
      <c r="C83" s="707"/>
      <c r="D83" s="707"/>
      <c r="E83" s="708"/>
      <c r="F83" s="48">
        <v>20</v>
      </c>
      <c r="G83" s="49">
        <f t="shared" si="32"/>
        <v>640</v>
      </c>
      <c r="H83" s="52">
        <f aca="true" t="shared" si="33" ref="H83:H92">CEILING(F83*0.9,1)</f>
        <v>18</v>
      </c>
      <c r="I83" s="49">
        <f t="shared" si="26"/>
        <v>576</v>
      </c>
      <c r="J83" s="52">
        <f t="shared" si="27"/>
        <v>17</v>
      </c>
      <c r="K83" s="49">
        <f t="shared" si="28"/>
        <v>544</v>
      </c>
      <c r="L83" s="52">
        <f t="shared" si="29"/>
        <v>16</v>
      </c>
      <c r="M83" s="49">
        <f t="shared" si="30"/>
        <v>512</v>
      </c>
      <c r="N83" s="273">
        <f t="shared" si="31"/>
        <v>30</v>
      </c>
      <c r="O83" s="416">
        <v>32</v>
      </c>
      <c r="P83" s="273"/>
      <c r="Q83" s="246"/>
      <c r="R83" s="488"/>
    </row>
    <row r="84" spans="1:18" ht="15">
      <c r="A84" s="706" t="s">
        <v>714</v>
      </c>
      <c r="B84" s="707"/>
      <c r="C84" s="707"/>
      <c r="D84" s="707"/>
      <c r="E84" s="708"/>
      <c r="F84" s="48">
        <v>20</v>
      </c>
      <c r="G84" s="49">
        <f t="shared" si="32"/>
        <v>600</v>
      </c>
      <c r="H84" s="52">
        <f t="shared" si="33"/>
        <v>18</v>
      </c>
      <c r="I84" s="49">
        <f t="shared" si="26"/>
        <v>540</v>
      </c>
      <c r="J84" s="52">
        <f t="shared" si="27"/>
        <v>17</v>
      </c>
      <c r="K84" s="49">
        <f t="shared" si="28"/>
        <v>510</v>
      </c>
      <c r="L84" s="52">
        <f t="shared" si="29"/>
        <v>16</v>
      </c>
      <c r="M84" s="49">
        <f t="shared" si="30"/>
        <v>480</v>
      </c>
      <c r="N84" s="273">
        <f t="shared" si="31"/>
        <v>30</v>
      </c>
      <c r="O84" s="416">
        <v>30</v>
      </c>
      <c r="P84" s="273"/>
      <c r="Q84" s="246"/>
      <c r="R84" s="488"/>
    </row>
    <row r="85" spans="1:18" ht="15">
      <c r="A85" s="706" t="s">
        <v>715</v>
      </c>
      <c r="B85" s="707"/>
      <c r="C85" s="707"/>
      <c r="D85" s="707"/>
      <c r="E85" s="708"/>
      <c r="F85" s="48">
        <v>20</v>
      </c>
      <c r="G85" s="49">
        <f t="shared" si="32"/>
        <v>960</v>
      </c>
      <c r="H85" s="52">
        <f t="shared" si="33"/>
        <v>18</v>
      </c>
      <c r="I85" s="49">
        <f t="shared" si="26"/>
        <v>864</v>
      </c>
      <c r="J85" s="52">
        <f t="shared" si="27"/>
        <v>17</v>
      </c>
      <c r="K85" s="49">
        <f t="shared" si="28"/>
        <v>816</v>
      </c>
      <c r="L85" s="52">
        <f t="shared" si="29"/>
        <v>16</v>
      </c>
      <c r="M85" s="49">
        <f t="shared" si="30"/>
        <v>768</v>
      </c>
      <c r="N85" s="273">
        <f t="shared" si="31"/>
        <v>30</v>
      </c>
      <c r="O85" s="416">
        <v>48</v>
      </c>
      <c r="P85" s="273"/>
      <c r="Q85" s="246"/>
      <c r="R85" s="488"/>
    </row>
    <row r="86" spans="1:18" ht="15">
      <c r="A86" s="706" t="s">
        <v>716</v>
      </c>
      <c r="B86" s="707"/>
      <c r="C86" s="707"/>
      <c r="D86" s="707"/>
      <c r="E86" s="708"/>
      <c r="F86" s="48">
        <v>20</v>
      </c>
      <c r="G86" s="49">
        <f t="shared" si="32"/>
        <v>1200</v>
      </c>
      <c r="H86" s="52">
        <f t="shared" si="33"/>
        <v>18</v>
      </c>
      <c r="I86" s="49">
        <f t="shared" si="26"/>
        <v>1080</v>
      </c>
      <c r="J86" s="52">
        <f t="shared" si="27"/>
        <v>17</v>
      </c>
      <c r="K86" s="49">
        <f t="shared" si="28"/>
        <v>1020</v>
      </c>
      <c r="L86" s="52">
        <f t="shared" si="29"/>
        <v>16</v>
      </c>
      <c r="M86" s="49">
        <f t="shared" si="30"/>
        <v>960</v>
      </c>
      <c r="N86" s="273">
        <f t="shared" si="31"/>
        <v>30</v>
      </c>
      <c r="O86" s="416">
        <v>60</v>
      </c>
      <c r="P86" s="273"/>
      <c r="Q86" s="246"/>
      <c r="R86" s="488"/>
    </row>
    <row r="87" spans="1:18" ht="15">
      <c r="A87" s="706" t="s">
        <v>717</v>
      </c>
      <c r="B87" s="707"/>
      <c r="C87" s="707"/>
      <c r="D87" s="707"/>
      <c r="E87" s="708"/>
      <c r="F87" s="48">
        <v>20</v>
      </c>
      <c r="G87" s="49">
        <f t="shared" si="32"/>
        <v>1920</v>
      </c>
      <c r="H87" s="52">
        <f t="shared" si="33"/>
        <v>18</v>
      </c>
      <c r="I87" s="49">
        <f t="shared" si="26"/>
        <v>1728</v>
      </c>
      <c r="J87" s="52">
        <f t="shared" si="27"/>
        <v>17</v>
      </c>
      <c r="K87" s="49">
        <f t="shared" si="28"/>
        <v>1632</v>
      </c>
      <c r="L87" s="52">
        <f t="shared" si="29"/>
        <v>16</v>
      </c>
      <c r="M87" s="49">
        <f t="shared" si="30"/>
        <v>1536</v>
      </c>
      <c r="N87" s="273">
        <f t="shared" si="31"/>
        <v>30</v>
      </c>
      <c r="O87" s="416">
        <v>96</v>
      </c>
      <c r="P87" s="273"/>
      <c r="Q87" s="246"/>
      <c r="R87" s="488"/>
    </row>
    <row r="88" spans="1:18" ht="15">
      <c r="A88" s="706" t="s">
        <v>718</v>
      </c>
      <c r="B88" s="707"/>
      <c r="C88" s="707"/>
      <c r="D88" s="707"/>
      <c r="E88" s="708"/>
      <c r="F88" s="48">
        <v>20</v>
      </c>
      <c r="G88" s="49">
        <f t="shared" si="32"/>
        <v>3000</v>
      </c>
      <c r="H88" s="52">
        <f t="shared" si="33"/>
        <v>18</v>
      </c>
      <c r="I88" s="49">
        <f t="shared" si="26"/>
        <v>2700</v>
      </c>
      <c r="J88" s="52">
        <f t="shared" si="27"/>
        <v>17</v>
      </c>
      <c r="K88" s="49">
        <f t="shared" si="28"/>
        <v>2550</v>
      </c>
      <c r="L88" s="52">
        <f t="shared" si="29"/>
        <v>16</v>
      </c>
      <c r="M88" s="49">
        <f t="shared" si="30"/>
        <v>2400</v>
      </c>
      <c r="N88" s="273">
        <f t="shared" si="31"/>
        <v>30</v>
      </c>
      <c r="O88" s="416">
        <v>150</v>
      </c>
      <c r="P88" s="273"/>
      <c r="Q88" s="246"/>
      <c r="R88" s="488"/>
    </row>
    <row r="89" spans="1:18" ht="15">
      <c r="A89" s="706" t="s">
        <v>719</v>
      </c>
      <c r="B89" s="707"/>
      <c r="C89" s="707"/>
      <c r="D89" s="707"/>
      <c r="E89" s="708"/>
      <c r="F89" s="48">
        <v>20</v>
      </c>
      <c r="G89" s="49">
        <f t="shared" si="32"/>
        <v>4000</v>
      </c>
      <c r="H89" s="52">
        <f t="shared" si="33"/>
        <v>18</v>
      </c>
      <c r="I89" s="49">
        <f t="shared" si="26"/>
        <v>3600</v>
      </c>
      <c r="J89" s="52">
        <f t="shared" si="27"/>
        <v>17</v>
      </c>
      <c r="K89" s="49">
        <f t="shared" si="28"/>
        <v>3400</v>
      </c>
      <c r="L89" s="52">
        <f t="shared" si="29"/>
        <v>16</v>
      </c>
      <c r="M89" s="49">
        <f t="shared" si="30"/>
        <v>3200</v>
      </c>
      <c r="N89" s="273">
        <f t="shared" si="31"/>
        <v>30</v>
      </c>
      <c r="O89" s="416">
        <v>200</v>
      </c>
      <c r="P89" s="273"/>
      <c r="Q89" s="246"/>
      <c r="R89" s="488"/>
    </row>
    <row r="90" spans="1:18" ht="15">
      <c r="A90" s="706" t="s">
        <v>720</v>
      </c>
      <c r="B90" s="707"/>
      <c r="C90" s="707"/>
      <c r="D90" s="707"/>
      <c r="E90" s="708"/>
      <c r="F90" s="48">
        <v>20</v>
      </c>
      <c r="G90" s="49">
        <f t="shared" si="32"/>
        <v>4500</v>
      </c>
      <c r="H90" s="52">
        <f t="shared" si="33"/>
        <v>18</v>
      </c>
      <c r="I90" s="49">
        <f t="shared" si="26"/>
        <v>4050</v>
      </c>
      <c r="J90" s="52">
        <f t="shared" si="27"/>
        <v>17</v>
      </c>
      <c r="K90" s="49">
        <f t="shared" si="28"/>
        <v>3825</v>
      </c>
      <c r="L90" s="52">
        <f t="shared" si="29"/>
        <v>16</v>
      </c>
      <c r="M90" s="49">
        <f t="shared" si="30"/>
        <v>3600</v>
      </c>
      <c r="N90" s="273">
        <f t="shared" si="31"/>
        <v>30</v>
      </c>
      <c r="O90" s="416">
        <v>225</v>
      </c>
      <c r="P90" s="273"/>
      <c r="Q90" s="246"/>
      <c r="R90" s="488"/>
    </row>
    <row r="91" spans="1:18" ht="15">
      <c r="A91" s="706" t="s">
        <v>721</v>
      </c>
      <c r="B91" s="707"/>
      <c r="C91" s="707"/>
      <c r="D91" s="707"/>
      <c r="E91" s="708"/>
      <c r="F91" s="48">
        <v>20</v>
      </c>
      <c r="G91" s="49">
        <f t="shared" si="32"/>
        <v>6000</v>
      </c>
      <c r="H91" s="52">
        <f t="shared" si="33"/>
        <v>18</v>
      </c>
      <c r="I91" s="49">
        <f t="shared" si="26"/>
        <v>5400</v>
      </c>
      <c r="J91" s="52">
        <f t="shared" si="27"/>
        <v>17</v>
      </c>
      <c r="K91" s="49">
        <f t="shared" si="28"/>
        <v>5100</v>
      </c>
      <c r="L91" s="52">
        <f t="shared" si="29"/>
        <v>16</v>
      </c>
      <c r="M91" s="49">
        <f t="shared" si="30"/>
        <v>4800</v>
      </c>
      <c r="N91" s="273">
        <f t="shared" si="31"/>
        <v>30</v>
      </c>
      <c r="O91" s="416">
        <v>300</v>
      </c>
      <c r="P91" s="273"/>
      <c r="Q91" s="246"/>
      <c r="R91" s="488"/>
    </row>
    <row r="92" spans="1:18" ht="15.75" thickBot="1">
      <c r="A92" s="753" t="s">
        <v>722</v>
      </c>
      <c r="B92" s="754"/>
      <c r="C92" s="754"/>
      <c r="D92" s="754"/>
      <c r="E92" s="755"/>
      <c r="F92" s="50">
        <v>20</v>
      </c>
      <c r="G92" s="51">
        <f t="shared" si="32"/>
        <v>8000</v>
      </c>
      <c r="H92" s="50">
        <f t="shared" si="33"/>
        <v>18</v>
      </c>
      <c r="I92" s="51">
        <f t="shared" si="26"/>
        <v>7200</v>
      </c>
      <c r="J92" s="50">
        <f t="shared" si="27"/>
        <v>17</v>
      </c>
      <c r="K92" s="51">
        <f t="shared" si="28"/>
        <v>6800</v>
      </c>
      <c r="L92" s="50">
        <f t="shared" si="29"/>
        <v>16</v>
      </c>
      <c r="M92" s="51">
        <f t="shared" si="30"/>
        <v>6400</v>
      </c>
      <c r="N92" s="273">
        <f t="shared" si="31"/>
        <v>30</v>
      </c>
      <c r="O92" s="416">
        <v>400</v>
      </c>
      <c r="P92" s="273"/>
      <c r="Q92" s="246"/>
      <c r="R92" s="488"/>
    </row>
    <row r="93" spans="1:18" ht="38.25" customHeight="1" thickTop="1">
      <c r="A93" s="659" t="s">
        <v>723</v>
      </c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411"/>
      <c r="O93" s="416"/>
      <c r="P93" s="273"/>
      <c r="Q93" s="225"/>
      <c r="R93" s="225"/>
    </row>
    <row r="94" spans="1:18" ht="12.75">
      <c r="A94" s="670" t="s">
        <v>96</v>
      </c>
      <c r="B94" s="671"/>
      <c r="C94" s="671"/>
      <c r="D94" s="671"/>
      <c r="E94" s="672"/>
      <c r="F94" s="701" t="s">
        <v>48</v>
      </c>
      <c r="G94" s="702"/>
      <c r="H94" s="701" t="s">
        <v>45</v>
      </c>
      <c r="I94" s="702"/>
      <c r="J94" s="701" t="s">
        <v>46</v>
      </c>
      <c r="K94" s="702"/>
      <c r="L94" s="701" t="s">
        <v>47</v>
      </c>
      <c r="M94" s="702"/>
      <c r="N94" s="273"/>
      <c r="O94" s="416"/>
      <c r="P94" s="273"/>
      <c r="Q94" s="676"/>
      <c r="R94" s="677"/>
    </row>
    <row r="95" spans="1:18" ht="13.5" thickBot="1">
      <c r="A95" s="663"/>
      <c r="B95" s="664"/>
      <c r="C95" s="664"/>
      <c r="D95" s="664"/>
      <c r="E95" s="665"/>
      <c r="F95" s="182" t="s">
        <v>37</v>
      </c>
      <c r="G95" s="183" t="s">
        <v>41</v>
      </c>
      <c r="H95" s="182" t="s">
        <v>37</v>
      </c>
      <c r="I95" s="183" t="s">
        <v>41</v>
      </c>
      <c r="J95" s="182" t="s">
        <v>37</v>
      </c>
      <c r="K95" s="183" t="s">
        <v>41</v>
      </c>
      <c r="L95" s="182" t="s">
        <v>37</v>
      </c>
      <c r="M95" s="183" t="s">
        <v>41</v>
      </c>
      <c r="N95" s="273"/>
      <c r="O95" s="416"/>
      <c r="P95" s="273"/>
      <c r="Q95" s="316"/>
      <c r="R95" s="491"/>
    </row>
    <row r="96" spans="1:18" ht="13.5" thickTop="1">
      <c r="A96" s="913" t="s">
        <v>42</v>
      </c>
      <c r="B96" s="914"/>
      <c r="C96" s="914"/>
      <c r="D96" s="914"/>
      <c r="E96" s="914"/>
      <c r="F96" s="914"/>
      <c r="G96" s="914"/>
      <c r="H96" s="914"/>
      <c r="I96" s="914"/>
      <c r="J96" s="914"/>
      <c r="K96" s="914"/>
      <c r="L96" s="914"/>
      <c r="M96" s="915"/>
      <c r="N96" s="432">
        <v>28</v>
      </c>
      <c r="O96" s="416"/>
      <c r="P96" s="273"/>
      <c r="Q96" s="317"/>
      <c r="R96" s="492"/>
    </row>
    <row r="97" spans="1:18" ht="15">
      <c r="A97" s="983" t="s">
        <v>394</v>
      </c>
      <c r="B97" s="984"/>
      <c r="C97" s="984"/>
      <c r="D97" s="984"/>
      <c r="E97" s="985"/>
      <c r="F97" s="52">
        <f>CEILING(N97*1.5,0.5)</f>
        <v>42</v>
      </c>
      <c r="G97" s="53">
        <f>CEILING(F97*O97,5)</f>
        <v>255</v>
      </c>
      <c r="H97" s="52">
        <f>CEILING(N97*1.4,0.5)</f>
        <v>39.5</v>
      </c>
      <c r="I97" s="53">
        <f>CEILING(H97*O97,5)</f>
        <v>240</v>
      </c>
      <c r="J97" s="52">
        <f>CEILING(N97*1.3,0.5)</f>
        <v>36.5</v>
      </c>
      <c r="K97" s="53">
        <f>CEILING(J97*O97,5)</f>
        <v>220</v>
      </c>
      <c r="L97" s="52">
        <f>CEILING(N97*1.16,0.5)</f>
        <v>32.5</v>
      </c>
      <c r="M97" s="53">
        <f>CEILING(L97*O97,5)</f>
        <v>195</v>
      </c>
      <c r="N97" s="273">
        <f>N96</f>
        <v>28</v>
      </c>
      <c r="O97" s="416">
        <v>6</v>
      </c>
      <c r="P97" s="273"/>
      <c r="Q97" s="235"/>
      <c r="R97" s="474"/>
    </row>
    <row r="98" spans="1:18" ht="15">
      <c r="A98" s="706" t="s">
        <v>395</v>
      </c>
      <c r="B98" s="707"/>
      <c r="C98" s="707"/>
      <c r="D98" s="707"/>
      <c r="E98" s="708"/>
      <c r="F98" s="52">
        <f aca="true" t="shared" si="34" ref="F98:F115">CEILING(N98*1.5,0.5)</f>
        <v>42</v>
      </c>
      <c r="G98" s="53">
        <f aca="true" t="shared" si="35" ref="G98:G115">CEILING(F98*O98,5)</f>
        <v>505</v>
      </c>
      <c r="H98" s="52">
        <f aca="true" t="shared" si="36" ref="H98:H115">CEILING(N98*1.4,0.5)</f>
        <v>39.5</v>
      </c>
      <c r="I98" s="53">
        <f aca="true" t="shared" si="37" ref="I98:I115">CEILING(H98*O98,5)</f>
        <v>475</v>
      </c>
      <c r="J98" s="52">
        <f aca="true" t="shared" si="38" ref="J98:J115">CEILING(N98*1.3,0.5)</f>
        <v>36.5</v>
      </c>
      <c r="K98" s="53">
        <f aca="true" t="shared" si="39" ref="K98:K115">CEILING(J98*O98,5)</f>
        <v>440</v>
      </c>
      <c r="L98" s="52">
        <f aca="true" t="shared" si="40" ref="L98:L115">CEILING(N98*1.16,0.5)</f>
        <v>32.5</v>
      </c>
      <c r="M98" s="53">
        <f aca="true" t="shared" si="41" ref="M98:M115">CEILING(L98*O98,5)</f>
        <v>390</v>
      </c>
      <c r="N98" s="273">
        <f aca="true" t="shared" si="42" ref="N98:N115">N97</f>
        <v>28</v>
      </c>
      <c r="O98" s="416">
        <v>12</v>
      </c>
      <c r="P98" s="273"/>
      <c r="Q98" s="246"/>
      <c r="R98" s="488"/>
    </row>
    <row r="99" spans="1:18" ht="15">
      <c r="A99" s="706" t="s">
        <v>396</v>
      </c>
      <c r="B99" s="707"/>
      <c r="C99" s="707"/>
      <c r="D99" s="707"/>
      <c r="E99" s="708"/>
      <c r="F99" s="52">
        <f t="shared" si="34"/>
        <v>42</v>
      </c>
      <c r="G99" s="53">
        <f t="shared" si="35"/>
        <v>630</v>
      </c>
      <c r="H99" s="52">
        <f t="shared" si="36"/>
        <v>39.5</v>
      </c>
      <c r="I99" s="53">
        <f t="shared" si="37"/>
        <v>595</v>
      </c>
      <c r="J99" s="52">
        <f t="shared" si="38"/>
        <v>36.5</v>
      </c>
      <c r="K99" s="53">
        <f t="shared" si="39"/>
        <v>550</v>
      </c>
      <c r="L99" s="52">
        <f t="shared" si="40"/>
        <v>32.5</v>
      </c>
      <c r="M99" s="53">
        <f t="shared" si="41"/>
        <v>490</v>
      </c>
      <c r="N99" s="273">
        <f t="shared" si="42"/>
        <v>28</v>
      </c>
      <c r="O99" s="416">
        <v>15</v>
      </c>
      <c r="P99" s="273"/>
      <c r="Q99" s="246"/>
      <c r="R99" s="488"/>
    </row>
    <row r="100" spans="1:18" ht="15">
      <c r="A100" s="706" t="s">
        <v>397</v>
      </c>
      <c r="B100" s="707"/>
      <c r="C100" s="707"/>
      <c r="D100" s="707"/>
      <c r="E100" s="708"/>
      <c r="F100" s="52">
        <f t="shared" si="34"/>
        <v>42</v>
      </c>
      <c r="G100" s="53">
        <f t="shared" si="35"/>
        <v>760</v>
      </c>
      <c r="H100" s="52">
        <f t="shared" si="36"/>
        <v>39.5</v>
      </c>
      <c r="I100" s="53">
        <f t="shared" si="37"/>
        <v>715</v>
      </c>
      <c r="J100" s="52">
        <f t="shared" si="38"/>
        <v>36.5</v>
      </c>
      <c r="K100" s="53">
        <f t="shared" si="39"/>
        <v>660</v>
      </c>
      <c r="L100" s="52">
        <f t="shared" si="40"/>
        <v>32.5</v>
      </c>
      <c r="M100" s="53">
        <f t="shared" si="41"/>
        <v>585</v>
      </c>
      <c r="N100" s="273">
        <f t="shared" si="42"/>
        <v>28</v>
      </c>
      <c r="O100" s="416">
        <v>18</v>
      </c>
      <c r="P100" s="273"/>
      <c r="Q100" s="246"/>
      <c r="R100" s="488"/>
    </row>
    <row r="101" spans="1:18" ht="15">
      <c r="A101" s="706" t="s">
        <v>398</v>
      </c>
      <c r="B101" s="707"/>
      <c r="C101" s="707"/>
      <c r="D101" s="707"/>
      <c r="E101" s="708"/>
      <c r="F101" s="52">
        <f t="shared" si="34"/>
        <v>42</v>
      </c>
      <c r="G101" s="53">
        <f t="shared" si="35"/>
        <v>840</v>
      </c>
      <c r="H101" s="52">
        <f t="shared" si="36"/>
        <v>39.5</v>
      </c>
      <c r="I101" s="53">
        <f t="shared" si="37"/>
        <v>790</v>
      </c>
      <c r="J101" s="52">
        <f t="shared" si="38"/>
        <v>36.5</v>
      </c>
      <c r="K101" s="53">
        <f t="shared" si="39"/>
        <v>730</v>
      </c>
      <c r="L101" s="52">
        <f t="shared" si="40"/>
        <v>32.5</v>
      </c>
      <c r="M101" s="53">
        <f t="shared" si="41"/>
        <v>650</v>
      </c>
      <c r="N101" s="273">
        <f t="shared" si="42"/>
        <v>28</v>
      </c>
      <c r="O101" s="416">
        <v>20</v>
      </c>
      <c r="P101" s="273"/>
      <c r="Q101" s="246"/>
      <c r="R101" s="488"/>
    </row>
    <row r="102" spans="1:18" ht="15">
      <c r="A102" s="706" t="s">
        <v>399</v>
      </c>
      <c r="B102" s="707"/>
      <c r="C102" s="707"/>
      <c r="D102" s="707"/>
      <c r="E102" s="708"/>
      <c r="F102" s="52">
        <f t="shared" si="34"/>
        <v>42</v>
      </c>
      <c r="G102" s="53">
        <f t="shared" si="35"/>
        <v>1010</v>
      </c>
      <c r="H102" s="52">
        <f t="shared" si="36"/>
        <v>39.5</v>
      </c>
      <c r="I102" s="53">
        <f t="shared" si="37"/>
        <v>950</v>
      </c>
      <c r="J102" s="52">
        <f t="shared" si="38"/>
        <v>36.5</v>
      </c>
      <c r="K102" s="53">
        <f t="shared" si="39"/>
        <v>880</v>
      </c>
      <c r="L102" s="52">
        <f t="shared" si="40"/>
        <v>32.5</v>
      </c>
      <c r="M102" s="53">
        <f t="shared" si="41"/>
        <v>780</v>
      </c>
      <c r="N102" s="273">
        <f t="shared" si="42"/>
        <v>28</v>
      </c>
      <c r="O102" s="416">
        <v>24</v>
      </c>
      <c r="P102" s="273"/>
      <c r="Q102" s="246"/>
      <c r="R102" s="488"/>
    </row>
    <row r="103" spans="1:18" ht="15">
      <c r="A103" s="706" t="s">
        <v>400</v>
      </c>
      <c r="B103" s="707"/>
      <c r="C103" s="707"/>
      <c r="D103" s="707"/>
      <c r="E103" s="708"/>
      <c r="F103" s="52">
        <f t="shared" si="34"/>
        <v>42</v>
      </c>
      <c r="G103" s="53">
        <f t="shared" si="35"/>
        <v>1345</v>
      </c>
      <c r="H103" s="52">
        <f t="shared" si="36"/>
        <v>39.5</v>
      </c>
      <c r="I103" s="53">
        <f t="shared" si="37"/>
        <v>1265</v>
      </c>
      <c r="J103" s="52">
        <f t="shared" si="38"/>
        <v>36.5</v>
      </c>
      <c r="K103" s="53">
        <f t="shared" si="39"/>
        <v>1170</v>
      </c>
      <c r="L103" s="52">
        <f t="shared" si="40"/>
        <v>32.5</v>
      </c>
      <c r="M103" s="53">
        <f t="shared" si="41"/>
        <v>1040</v>
      </c>
      <c r="N103" s="273">
        <f t="shared" si="42"/>
        <v>28</v>
      </c>
      <c r="O103" s="416">
        <v>32</v>
      </c>
      <c r="P103" s="273"/>
      <c r="Q103" s="246"/>
      <c r="R103" s="488"/>
    </row>
    <row r="104" spans="1:18" ht="15">
      <c r="A104" s="706" t="s">
        <v>401</v>
      </c>
      <c r="B104" s="707"/>
      <c r="C104" s="707"/>
      <c r="D104" s="707"/>
      <c r="E104" s="708"/>
      <c r="F104" s="52">
        <f t="shared" si="34"/>
        <v>42</v>
      </c>
      <c r="G104" s="53">
        <f t="shared" si="35"/>
        <v>1260</v>
      </c>
      <c r="H104" s="52">
        <f t="shared" si="36"/>
        <v>39.5</v>
      </c>
      <c r="I104" s="53">
        <f t="shared" si="37"/>
        <v>1185</v>
      </c>
      <c r="J104" s="52">
        <f t="shared" si="38"/>
        <v>36.5</v>
      </c>
      <c r="K104" s="53">
        <f t="shared" si="39"/>
        <v>1095</v>
      </c>
      <c r="L104" s="52">
        <f t="shared" si="40"/>
        <v>32.5</v>
      </c>
      <c r="M104" s="53">
        <f t="shared" si="41"/>
        <v>975</v>
      </c>
      <c r="N104" s="273">
        <f t="shared" si="42"/>
        <v>28</v>
      </c>
      <c r="O104" s="416">
        <v>30</v>
      </c>
      <c r="P104" s="273"/>
      <c r="Q104" s="246"/>
      <c r="R104" s="488"/>
    </row>
    <row r="105" spans="1:18" ht="15">
      <c r="A105" s="706" t="s">
        <v>402</v>
      </c>
      <c r="B105" s="707"/>
      <c r="C105" s="707"/>
      <c r="D105" s="707"/>
      <c r="E105" s="708"/>
      <c r="F105" s="52">
        <f t="shared" si="34"/>
        <v>42</v>
      </c>
      <c r="G105" s="53">
        <f t="shared" si="35"/>
        <v>2020</v>
      </c>
      <c r="H105" s="52">
        <f t="shared" si="36"/>
        <v>39.5</v>
      </c>
      <c r="I105" s="53">
        <f t="shared" si="37"/>
        <v>1900</v>
      </c>
      <c r="J105" s="52">
        <f t="shared" si="38"/>
        <v>36.5</v>
      </c>
      <c r="K105" s="53">
        <f t="shared" si="39"/>
        <v>1755</v>
      </c>
      <c r="L105" s="52">
        <f t="shared" si="40"/>
        <v>32.5</v>
      </c>
      <c r="M105" s="53">
        <f t="shared" si="41"/>
        <v>1560</v>
      </c>
      <c r="N105" s="273">
        <f t="shared" si="42"/>
        <v>28</v>
      </c>
      <c r="O105" s="416">
        <v>48</v>
      </c>
      <c r="P105" s="273"/>
      <c r="Q105" s="246"/>
      <c r="R105" s="488"/>
    </row>
    <row r="106" spans="1:18" ht="15">
      <c r="A106" s="706" t="s">
        <v>403</v>
      </c>
      <c r="B106" s="707"/>
      <c r="C106" s="707"/>
      <c r="D106" s="707"/>
      <c r="E106" s="708"/>
      <c r="F106" s="52">
        <f t="shared" si="34"/>
        <v>42</v>
      </c>
      <c r="G106" s="53">
        <f t="shared" si="35"/>
        <v>2520</v>
      </c>
      <c r="H106" s="52">
        <f t="shared" si="36"/>
        <v>39.5</v>
      </c>
      <c r="I106" s="53">
        <f t="shared" si="37"/>
        <v>2370</v>
      </c>
      <c r="J106" s="52">
        <f t="shared" si="38"/>
        <v>36.5</v>
      </c>
      <c r="K106" s="53">
        <f t="shared" si="39"/>
        <v>2190</v>
      </c>
      <c r="L106" s="52">
        <f t="shared" si="40"/>
        <v>32.5</v>
      </c>
      <c r="M106" s="53">
        <f t="shared" si="41"/>
        <v>1950</v>
      </c>
      <c r="N106" s="273">
        <f t="shared" si="42"/>
        <v>28</v>
      </c>
      <c r="O106" s="416">
        <v>60</v>
      </c>
      <c r="P106" s="273"/>
      <c r="Q106" s="246"/>
      <c r="R106" s="488"/>
    </row>
    <row r="107" spans="1:18" ht="15">
      <c r="A107" s="706" t="s">
        <v>404</v>
      </c>
      <c r="B107" s="707"/>
      <c r="C107" s="707"/>
      <c r="D107" s="707"/>
      <c r="E107" s="708"/>
      <c r="F107" s="52">
        <f t="shared" si="34"/>
        <v>42</v>
      </c>
      <c r="G107" s="53">
        <f t="shared" si="35"/>
        <v>3360</v>
      </c>
      <c r="H107" s="52">
        <f t="shared" si="36"/>
        <v>39.5</v>
      </c>
      <c r="I107" s="53">
        <f t="shared" si="37"/>
        <v>3160</v>
      </c>
      <c r="J107" s="52">
        <f t="shared" si="38"/>
        <v>36.5</v>
      </c>
      <c r="K107" s="53">
        <f t="shared" si="39"/>
        <v>2920</v>
      </c>
      <c r="L107" s="52">
        <f t="shared" si="40"/>
        <v>32.5</v>
      </c>
      <c r="M107" s="53">
        <f t="shared" si="41"/>
        <v>2600</v>
      </c>
      <c r="N107" s="273">
        <f t="shared" si="42"/>
        <v>28</v>
      </c>
      <c r="O107" s="416">
        <v>80</v>
      </c>
      <c r="P107" s="273"/>
      <c r="Q107" s="246"/>
      <c r="R107" s="488"/>
    </row>
    <row r="108" spans="1:18" ht="15">
      <c r="A108" s="706" t="s">
        <v>405</v>
      </c>
      <c r="B108" s="707"/>
      <c r="C108" s="707"/>
      <c r="D108" s="707"/>
      <c r="E108" s="708"/>
      <c r="F108" s="52">
        <f t="shared" si="34"/>
        <v>42</v>
      </c>
      <c r="G108" s="53">
        <f t="shared" si="35"/>
        <v>4035</v>
      </c>
      <c r="H108" s="52">
        <f t="shared" si="36"/>
        <v>39.5</v>
      </c>
      <c r="I108" s="53">
        <f t="shared" si="37"/>
        <v>3795</v>
      </c>
      <c r="J108" s="52">
        <f t="shared" si="38"/>
        <v>36.5</v>
      </c>
      <c r="K108" s="53">
        <f t="shared" si="39"/>
        <v>3505</v>
      </c>
      <c r="L108" s="52">
        <f t="shared" si="40"/>
        <v>32.5</v>
      </c>
      <c r="M108" s="53">
        <f t="shared" si="41"/>
        <v>3120</v>
      </c>
      <c r="N108" s="273">
        <f t="shared" si="42"/>
        <v>28</v>
      </c>
      <c r="O108" s="416">
        <v>96</v>
      </c>
      <c r="P108" s="273"/>
      <c r="Q108" s="246"/>
      <c r="R108" s="488"/>
    </row>
    <row r="109" spans="1:18" ht="15">
      <c r="A109" s="706" t="s">
        <v>406</v>
      </c>
      <c r="B109" s="707"/>
      <c r="C109" s="707"/>
      <c r="D109" s="707"/>
      <c r="E109" s="708"/>
      <c r="F109" s="52">
        <f t="shared" si="34"/>
        <v>42</v>
      </c>
      <c r="G109" s="53">
        <f t="shared" si="35"/>
        <v>5040</v>
      </c>
      <c r="H109" s="52">
        <f t="shared" si="36"/>
        <v>39.5</v>
      </c>
      <c r="I109" s="53">
        <f t="shared" si="37"/>
        <v>4740</v>
      </c>
      <c r="J109" s="52">
        <f t="shared" si="38"/>
        <v>36.5</v>
      </c>
      <c r="K109" s="53">
        <f t="shared" si="39"/>
        <v>4380</v>
      </c>
      <c r="L109" s="52">
        <f t="shared" si="40"/>
        <v>32.5</v>
      </c>
      <c r="M109" s="53">
        <f t="shared" si="41"/>
        <v>3900</v>
      </c>
      <c r="N109" s="273">
        <f t="shared" si="42"/>
        <v>28</v>
      </c>
      <c r="O109" s="416">
        <v>120</v>
      </c>
      <c r="P109" s="273"/>
      <c r="Q109" s="246"/>
      <c r="R109" s="488"/>
    </row>
    <row r="110" spans="1:18" ht="15">
      <c r="A110" s="706" t="s">
        <v>407</v>
      </c>
      <c r="B110" s="707"/>
      <c r="C110" s="707"/>
      <c r="D110" s="707"/>
      <c r="E110" s="708"/>
      <c r="F110" s="52">
        <f t="shared" si="34"/>
        <v>42</v>
      </c>
      <c r="G110" s="53">
        <f t="shared" si="35"/>
        <v>6300</v>
      </c>
      <c r="H110" s="52">
        <f t="shared" si="36"/>
        <v>39.5</v>
      </c>
      <c r="I110" s="53">
        <f t="shared" si="37"/>
        <v>5925</v>
      </c>
      <c r="J110" s="52">
        <f t="shared" si="38"/>
        <v>36.5</v>
      </c>
      <c r="K110" s="53">
        <f t="shared" si="39"/>
        <v>5475</v>
      </c>
      <c r="L110" s="52">
        <f t="shared" si="40"/>
        <v>32.5</v>
      </c>
      <c r="M110" s="53">
        <f t="shared" si="41"/>
        <v>4875</v>
      </c>
      <c r="N110" s="273">
        <f t="shared" si="42"/>
        <v>28</v>
      </c>
      <c r="O110" s="416">
        <v>150</v>
      </c>
      <c r="P110" s="273"/>
      <c r="Q110" s="246"/>
      <c r="R110" s="488"/>
    </row>
    <row r="111" spans="1:18" ht="15">
      <c r="A111" s="706" t="s">
        <v>408</v>
      </c>
      <c r="B111" s="707"/>
      <c r="C111" s="707"/>
      <c r="D111" s="707"/>
      <c r="E111" s="708"/>
      <c r="F111" s="52">
        <f t="shared" si="34"/>
        <v>42</v>
      </c>
      <c r="G111" s="53">
        <f t="shared" si="35"/>
        <v>8400</v>
      </c>
      <c r="H111" s="52">
        <f t="shared" si="36"/>
        <v>39.5</v>
      </c>
      <c r="I111" s="53">
        <f t="shared" si="37"/>
        <v>7900</v>
      </c>
      <c r="J111" s="52">
        <f t="shared" si="38"/>
        <v>36.5</v>
      </c>
      <c r="K111" s="53">
        <f t="shared" si="39"/>
        <v>7300</v>
      </c>
      <c r="L111" s="52">
        <f t="shared" si="40"/>
        <v>32.5</v>
      </c>
      <c r="M111" s="53">
        <f t="shared" si="41"/>
        <v>6500</v>
      </c>
      <c r="N111" s="273">
        <f t="shared" si="42"/>
        <v>28</v>
      </c>
      <c r="O111" s="416">
        <v>200</v>
      </c>
      <c r="P111" s="273"/>
      <c r="Q111" s="246"/>
      <c r="R111" s="488"/>
    </row>
    <row r="112" spans="1:18" ht="15">
      <c r="A112" s="706" t="s">
        <v>409</v>
      </c>
      <c r="B112" s="707"/>
      <c r="C112" s="707"/>
      <c r="D112" s="707"/>
      <c r="E112" s="708"/>
      <c r="F112" s="52">
        <f t="shared" si="34"/>
        <v>42</v>
      </c>
      <c r="G112" s="53">
        <f t="shared" si="35"/>
        <v>9450</v>
      </c>
      <c r="H112" s="52">
        <f t="shared" si="36"/>
        <v>39.5</v>
      </c>
      <c r="I112" s="53">
        <f t="shared" si="37"/>
        <v>8890</v>
      </c>
      <c r="J112" s="52">
        <f t="shared" si="38"/>
        <v>36.5</v>
      </c>
      <c r="K112" s="53">
        <f t="shared" si="39"/>
        <v>8215</v>
      </c>
      <c r="L112" s="52">
        <f t="shared" si="40"/>
        <v>32.5</v>
      </c>
      <c r="M112" s="53">
        <f t="shared" si="41"/>
        <v>7315</v>
      </c>
      <c r="N112" s="273">
        <f t="shared" si="42"/>
        <v>28</v>
      </c>
      <c r="O112" s="416">
        <v>225</v>
      </c>
      <c r="P112" s="273"/>
      <c r="Q112" s="246"/>
      <c r="R112" s="488"/>
    </row>
    <row r="113" spans="1:18" ht="15">
      <c r="A113" s="706" t="s">
        <v>410</v>
      </c>
      <c r="B113" s="707"/>
      <c r="C113" s="707"/>
      <c r="D113" s="707"/>
      <c r="E113" s="708"/>
      <c r="F113" s="52">
        <f t="shared" si="34"/>
        <v>42</v>
      </c>
      <c r="G113" s="53">
        <f t="shared" si="35"/>
        <v>12600</v>
      </c>
      <c r="H113" s="52">
        <f t="shared" si="36"/>
        <v>39.5</v>
      </c>
      <c r="I113" s="53">
        <f t="shared" si="37"/>
        <v>11850</v>
      </c>
      <c r="J113" s="52">
        <f t="shared" si="38"/>
        <v>36.5</v>
      </c>
      <c r="K113" s="53">
        <f t="shared" si="39"/>
        <v>10950</v>
      </c>
      <c r="L113" s="52">
        <f t="shared" si="40"/>
        <v>32.5</v>
      </c>
      <c r="M113" s="53">
        <f t="shared" si="41"/>
        <v>9750</v>
      </c>
      <c r="N113" s="273">
        <f t="shared" si="42"/>
        <v>28</v>
      </c>
      <c r="O113" s="416">
        <v>300</v>
      </c>
      <c r="P113" s="273"/>
      <c r="Q113" s="246"/>
      <c r="R113" s="488"/>
    </row>
    <row r="114" spans="1:18" ht="15">
      <c r="A114" s="706" t="s">
        <v>411</v>
      </c>
      <c r="B114" s="707"/>
      <c r="C114" s="707"/>
      <c r="D114" s="707"/>
      <c r="E114" s="708"/>
      <c r="F114" s="52">
        <f t="shared" si="34"/>
        <v>42</v>
      </c>
      <c r="G114" s="53">
        <f t="shared" si="35"/>
        <v>16800</v>
      </c>
      <c r="H114" s="52">
        <f t="shared" si="36"/>
        <v>39.5</v>
      </c>
      <c r="I114" s="53">
        <f t="shared" si="37"/>
        <v>15800</v>
      </c>
      <c r="J114" s="52">
        <f t="shared" si="38"/>
        <v>36.5</v>
      </c>
      <c r="K114" s="53">
        <f t="shared" si="39"/>
        <v>14600</v>
      </c>
      <c r="L114" s="52">
        <f t="shared" si="40"/>
        <v>32.5</v>
      </c>
      <c r="M114" s="53">
        <f t="shared" si="41"/>
        <v>13000</v>
      </c>
      <c r="N114" s="273">
        <f t="shared" si="42"/>
        <v>28</v>
      </c>
      <c r="O114" s="416">
        <v>400</v>
      </c>
      <c r="P114" s="273"/>
      <c r="Q114" s="246"/>
      <c r="R114" s="488"/>
    </row>
    <row r="115" spans="1:18" ht="15.75" thickBot="1">
      <c r="A115" s="753" t="s">
        <v>648</v>
      </c>
      <c r="B115" s="754"/>
      <c r="C115" s="754"/>
      <c r="D115" s="754"/>
      <c r="E115" s="755"/>
      <c r="F115" s="50">
        <f t="shared" si="34"/>
        <v>42</v>
      </c>
      <c r="G115" s="51">
        <f t="shared" si="35"/>
        <v>25200</v>
      </c>
      <c r="H115" s="50">
        <f t="shared" si="36"/>
        <v>39.5</v>
      </c>
      <c r="I115" s="51">
        <f t="shared" si="37"/>
        <v>23700</v>
      </c>
      <c r="J115" s="50">
        <f t="shared" si="38"/>
        <v>36.5</v>
      </c>
      <c r="K115" s="51">
        <f t="shared" si="39"/>
        <v>21900</v>
      </c>
      <c r="L115" s="52">
        <f t="shared" si="40"/>
        <v>32.5</v>
      </c>
      <c r="M115" s="51">
        <f t="shared" si="41"/>
        <v>19500</v>
      </c>
      <c r="N115" s="273">
        <f t="shared" si="42"/>
        <v>28</v>
      </c>
      <c r="O115" s="416">
        <v>600</v>
      </c>
      <c r="P115" s="273"/>
      <c r="Q115" s="236"/>
      <c r="R115" s="475"/>
    </row>
    <row r="116" spans="1:18" ht="13.5" thickTop="1">
      <c r="A116" s="913" t="s">
        <v>43</v>
      </c>
      <c r="B116" s="914"/>
      <c r="C116" s="914"/>
      <c r="D116" s="914"/>
      <c r="E116" s="914"/>
      <c r="F116" s="914"/>
      <c r="G116" s="914"/>
      <c r="H116" s="914"/>
      <c r="I116" s="914"/>
      <c r="J116" s="914"/>
      <c r="K116" s="914"/>
      <c r="L116" s="914"/>
      <c r="M116" s="915"/>
      <c r="N116" s="432">
        <v>40.9</v>
      </c>
      <c r="O116" s="416"/>
      <c r="P116" s="273"/>
      <c r="Q116" s="225"/>
      <c r="R116" s="225"/>
    </row>
    <row r="117" spans="1:18" ht="15">
      <c r="A117" s="983" t="s">
        <v>412</v>
      </c>
      <c r="B117" s="984"/>
      <c r="C117" s="984"/>
      <c r="D117" s="984"/>
      <c r="E117" s="985"/>
      <c r="F117" s="52">
        <f>CEILING(N117*1.5,0.5)</f>
        <v>61.5</v>
      </c>
      <c r="G117" s="53">
        <f aca="true" t="shared" si="43" ref="G117:G135">CEILING(F117*O117,5)</f>
        <v>370</v>
      </c>
      <c r="H117" s="52">
        <f aca="true" t="shared" si="44" ref="H117:H135">CEILING(N117*1.4,0.5)</f>
        <v>57.5</v>
      </c>
      <c r="I117" s="53">
        <f>CEILING(H117*O117,5)</f>
        <v>345</v>
      </c>
      <c r="J117" s="52">
        <f aca="true" t="shared" si="45" ref="J117:J135">CEILING(N117*1.3,0.5)</f>
        <v>53.5</v>
      </c>
      <c r="K117" s="53">
        <f>CEILING(J117*O117,5)</f>
        <v>325</v>
      </c>
      <c r="L117" s="52">
        <f aca="true" t="shared" si="46" ref="L117:L135">CEILING(N117*1.2,0.5)</f>
        <v>49.5</v>
      </c>
      <c r="M117" s="53">
        <f>CEILING(L117*O117,5)</f>
        <v>300</v>
      </c>
      <c r="N117" s="273">
        <f>N116</f>
        <v>40.9</v>
      </c>
      <c r="O117" s="416">
        <v>6</v>
      </c>
      <c r="P117" s="273"/>
      <c r="Q117" s="235"/>
      <c r="R117" s="474"/>
    </row>
    <row r="118" spans="1:18" ht="15">
      <c r="A118" s="706" t="s">
        <v>413</v>
      </c>
      <c r="B118" s="707"/>
      <c r="C118" s="707"/>
      <c r="D118" s="707"/>
      <c r="E118" s="708"/>
      <c r="F118" s="52">
        <f aca="true" t="shared" si="47" ref="F118:F135">CEILING(N118*1.5,0.5)</f>
        <v>61.5</v>
      </c>
      <c r="G118" s="53">
        <f t="shared" si="43"/>
        <v>740</v>
      </c>
      <c r="H118" s="52">
        <f t="shared" si="44"/>
        <v>57.5</v>
      </c>
      <c r="I118" s="53">
        <f aca="true" t="shared" si="48" ref="I118:I135">CEILING(H118*O118,5)</f>
        <v>690</v>
      </c>
      <c r="J118" s="52">
        <f t="shared" si="45"/>
        <v>53.5</v>
      </c>
      <c r="K118" s="53">
        <f aca="true" t="shared" si="49" ref="K118:K135">CEILING(J118*O118,5)</f>
        <v>645</v>
      </c>
      <c r="L118" s="52">
        <f t="shared" si="46"/>
        <v>49.5</v>
      </c>
      <c r="M118" s="53">
        <f aca="true" t="shared" si="50" ref="M118:M135">CEILING(L118*O118,5)</f>
        <v>595</v>
      </c>
      <c r="N118" s="273">
        <f aca="true" t="shared" si="51" ref="N118:N135">N117</f>
        <v>40.9</v>
      </c>
      <c r="O118" s="416">
        <v>12</v>
      </c>
      <c r="P118" s="273"/>
      <c r="Q118" s="246"/>
      <c r="R118" s="474"/>
    </row>
    <row r="119" spans="1:18" ht="15">
      <c r="A119" s="706" t="s">
        <v>414</v>
      </c>
      <c r="B119" s="707"/>
      <c r="C119" s="707"/>
      <c r="D119" s="707"/>
      <c r="E119" s="708"/>
      <c r="F119" s="52">
        <f t="shared" si="47"/>
        <v>61.5</v>
      </c>
      <c r="G119" s="53">
        <f t="shared" si="43"/>
        <v>925</v>
      </c>
      <c r="H119" s="52">
        <f t="shared" si="44"/>
        <v>57.5</v>
      </c>
      <c r="I119" s="53">
        <f t="shared" si="48"/>
        <v>865</v>
      </c>
      <c r="J119" s="52">
        <f t="shared" si="45"/>
        <v>53.5</v>
      </c>
      <c r="K119" s="53">
        <f t="shared" si="49"/>
        <v>805</v>
      </c>
      <c r="L119" s="52">
        <f t="shared" si="46"/>
        <v>49.5</v>
      </c>
      <c r="M119" s="53">
        <f t="shared" si="50"/>
        <v>745</v>
      </c>
      <c r="N119" s="273">
        <f t="shared" si="51"/>
        <v>40.9</v>
      </c>
      <c r="O119" s="416">
        <v>15</v>
      </c>
      <c r="P119" s="273"/>
      <c r="Q119" s="246"/>
      <c r="R119" s="474"/>
    </row>
    <row r="120" spans="1:18" ht="15">
      <c r="A120" s="706" t="s">
        <v>415</v>
      </c>
      <c r="B120" s="707"/>
      <c r="C120" s="707"/>
      <c r="D120" s="707"/>
      <c r="E120" s="708"/>
      <c r="F120" s="52">
        <f t="shared" si="47"/>
        <v>61.5</v>
      </c>
      <c r="G120" s="53">
        <f t="shared" si="43"/>
        <v>1110</v>
      </c>
      <c r="H120" s="52">
        <f t="shared" si="44"/>
        <v>57.5</v>
      </c>
      <c r="I120" s="53">
        <f t="shared" si="48"/>
        <v>1035</v>
      </c>
      <c r="J120" s="52">
        <f t="shared" si="45"/>
        <v>53.5</v>
      </c>
      <c r="K120" s="53">
        <f t="shared" si="49"/>
        <v>965</v>
      </c>
      <c r="L120" s="52">
        <f t="shared" si="46"/>
        <v>49.5</v>
      </c>
      <c r="M120" s="53">
        <f t="shared" si="50"/>
        <v>895</v>
      </c>
      <c r="N120" s="273">
        <f t="shared" si="51"/>
        <v>40.9</v>
      </c>
      <c r="O120" s="416">
        <v>18</v>
      </c>
      <c r="P120" s="273"/>
      <c r="Q120" s="246"/>
      <c r="R120" s="474"/>
    </row>
    <row r="121" spans="1:18" ht="15">
      <c r="A121" s="706" t="s">
        <v>416</v>
      </c>
      <c r="B121" s="707"/>
      <c r="C121" s="707"/>
      <c r="D121" s="707"/>
      <c r="E121" s="708"/>
      <c r="F121" s="52">
        <f t="shared" si="47"/>
        <v>61.5</v>
      </c>
      <c r="G121" s="53">
        <f t="shared" si="43"/>
        <v>1230</v>
      </c>
      <c r="H121" s="52">
        <f t="shared" si="44"/>
        <v>57.5</v>
      </c>
      <c r="I121" s="53">
        <f t="shared" si="48"/>
        <v>1150</v>
      </c>
      <c r="J121" s="52">
        <f t="shared" si="45"/>
        <v>53.5</v>
      </c>
      <c r="K121" s="53">
        <f t="shared" si="49"/>
        <v>1070</v>
      </c>
      <c r="L121" s="52">
        <f t="shared" si="46"/>
        <v>49.5</v>
      </c>
      <c r="M121" s="53">
        <f t="shared" si="50"/>
        <v>990</v>
      </c>
      <c r="N121" s="273">
        <f t="shared" si="51"/>
        <v>40.9</v>
      </c>
      <c r="O121" s="416">
        <v>20</v>
      </c>
      <c r="P121" s="273"/>
      <c r="Q121" s="246"/>
      <c r="R121" s="474"/>
    </row>
    <row r="122" spans="1:18" ht="15">
      <c r="A122" s="706" t="s">
        <v>417</v>
      </c>
      <c r="B122" s="707"/>
      <c r="C122" s="707"/>
      <c r="D122" s="707"/>
      <c r="E122" s="708"/>
      <c r="F122" s="52">
        <f t="shared" si="47"/>
        <v>61.5</v>
      </c>
      <c r="G122" s="53">
        <f t="shared" si="43"/>
        <v>1480</v>
      </c>
      <c r="H122" s="52">
        <f t="shared" si="44"/>
        <v>57.5</v>
      </c>
      <c r="I122" s="53">
        <f t="shared" si="48"/>
        <v>1380</v>
      </c>
      <c r="J122" s="52">
        <f t="shared" si="45"/>
        <v>53.5</v>
      </c>
      <c r="K122" s="53">
        <f t="shared" si="49"/>
        <v>1285</v>
      </c>
      <c r="L122" s="52">
        <f t="shared" si="46"/>
        <v>49.5</v>
      </c>
      <c r="M122" s="53">
        <f t="shared" si="50"/>
        <v>1190</v>
      </c>
      <c r="N122" s="273">
        <f t="shared" si="51"/>
        <v>40.9</v>
      </c>
      <c r="O122" s="416">
        <v>24</v>
      </c>
      <c r="P122" s="273"/>
      <c r="Q122" s="246"/>
      <c r="R122" s="474"/>
    </row>
    <row r="123" spans="1:18" ht="15">
      <c r="A123" s="706" t="s">
        <v>418</v>
      </c>
      <c r="B123" s="707"/>
      <c r="C123" s="707"/>
      <c r="D123" s="707"/>
      <c r="E123" s="708"/>
      <c r="F123" s="52">
        <f t="shared" si="47"/>
        <v>61.5</v>
      </c>
      <c r="G123" s="53">
        <f t="shared" si="43"/>
        <v>1970</v>
      </c>
      <c r="H123" s="52">
        <f t="shared" si="44"/>
        <v>57.5</v>
      </c>
      <c r="I123" s="53">
        <f t="shared" si="48"/>
        <v>1840</v>
      </c>
      <c r="J123" s="52">
        <f t="shared" si="45"/>
        <v>53.5</v>
      </c>
      <c r="K123" s="53">
        <f t="shared" si="49"/>
        <v>1715</v>
      </c>
      <c r="L123" s="52">
        <f t="shared" si="46"/>
        <v>49.5</v>
      </c>
      <c r="M123" s="53">
        <f t="shared" si="50"/>
        <v>1585</v>
      </c>
      <c r="N123" s="273">
        <f t="shared" si="51"/>
        <v>40.9</v>
      </c>
      <c r="O123" s="416">
        <v>32</v>
      </c>
      <c r="P123" s="273"/>
      <c r="Q123" s="246"/>
      <c r="R123" s="474"/>
    </row>
    <row r="124" spans="1:18" ht="15">
      <c r="A124" s="706" t="s">
        <v>419</v>
      </c>
      <c r="B124" s="707"/>
      <c r="C124" s="707"/>
      <c r="D124" s="707"/>
      <c r="E124" s="708"/>
      <c r="F124" s="52">
        <f t="shared" si="47"/>
        <v>61.5</v>
      </c>
      <c r="G124" s="53">
        <f t="shared" si="43"/>
        <v>1845</v>
      </c>
      <c r="H124" s="52">
        <f t="shared" si="44"/>
        <v>57.5</v>
      </c>
      <c r="I124" s="53">
        <f t="shared" si="48"/>
        <v>1725</v>
      </c>
      <c r="J124" s="52">
        <f t="shared" si="45"/>
        <v>53.5</v>
      </c>
      <c r="K124" s="53">
        <f t="shared" si="49"/>
        <v>1605</v>
      </c>
      <c r="L124" s="52">
        <f t="shared" si="46"/>
        <v>49.5</v>
      </c>
      <c r="M124" s="53">
        <f t="shared" si="50"/>
        <v>1485</v>
      </c>
      <c r="N124" s="273">
        <f t="shared" si="51"/>
        <v>40.9</v>
      </c>
      <c r="O124" s="416">
        <v>30</v>
      </c>
      <c r="P124" s="273"/>
      <c r="Q124" s="246"/>
      <c r="R124" s="474"/>
    </row>
    <row r="125" spans="1:18" ht="15">
      <c r="A125" s="706" t="s">
        <v>420</v>
      </c>
      <c r="B125" s="707"/>
      <c r="C125" s="707"/>
      <c r="D125" s="707"/>
      <c r="E125" s="708"/>
      <c r="F125" s="52">
        <f t="shared" si="47"/>
        <v>61.5</v>
      </c>
      <c r="G125" s="53">
        <f t="shared" si="43"/>
        <v>2955</v>
      </c>
      <c r="H125" s="52">
        <f t="shared" si="44"/>
        <v>57.5</v>
      </c>
      <c r="I125" s="53">
        <f t="shared" si="48"/>
        <v>2760</v>
      </c>
      <c r="J125" s="52">
        <f t="shared" si="45"/>
        <v>53.5</v>
      </c>
      <c r="K125" s="53">
        <f t="shared" si="49"/>
        <v>2570</v>
      </c>
      <c r="L125" s="52">
        <f t="shared" si="46"/>
        <v>49.5</v>
      </c>
      <c r="M125" s="53">
        <f t="shared" si="50"/>
        <v>2380</v>
      </c>
      <c r="N125" s="273">
        <f t="shared" si="51"/>
        <v>40.9</v>
      </c>
      <c r="O125" s="416">
        <v>48</v>
      </c>
      <c r="P125" s="273"/>
      <c r="Q125" s="246"/>
      <c r="R125" s="474"/>
    </row>
    <row r="126" spans="1:18" ht="15">
      <c r="A126" s="706" t="s">
        <v>421</v>
      </c>
      <c r="B126" s="707"/>
      <c r="C126" s="707"/>
      <c r="D126" s="707"/>
      <c r="E126" s="708"/>
      <c r="F126" s="52">
        <f t="shared" si="47"/>
        <v>61.5</v>
      </c>
      <c r="G126" s="53">
        <f t="shared" si="43"/>
        <v>3690</v>
      </c>
      <c r="H126" s="52">
        <f t="shared" si="44"/>
        <v>57.5</v>
      </c>
      <c r="I126" s="53">
        <f t="shared" si="48"/>
        <v>3450</v>
      </c>
      <c r="J126" s="52">
        <f t="shared" si="45"/>
        <v>53.5</v>
      </c>
      <c r="K126" s="53">
        <f t="shared" si="49"/>
        <v>3210</v>
      </c>
      <c r="L126" s="52">
        <f t="shared" si="46"/>
        <v>49.5</v>
      </c>
      <c r="M126" s="53">
        <f t="shared" si="50"/>
        <v>2970</v>
      </c>
      <c r="N126" s="273">
        <f t="shared" si="51"/>
        <v>40.9</v>
      </c>
      <c r="O126" s="416">
        <v>60</v>
      </c>
      <c r="P126" s="273"/>
      <c r="Q126" s="246"/>
      <c r="R126" s="474"/>
    </row>
    <row r="127" spans="1:18" ht="15">
      <c r="A127" s="706" t="s">
        <v>422</v>
      </c>
      <c r="B127" s="707"/>
      <c r="C127" s="707"/>
      <c r="D127" s="707"/>
      <c r="E127" s="708"/>
      <c r="F127" s="52">
        <f t="shared" si="47"/>
        <v>61.5</v>
      </c>
      <c r="G127" s="53">
        <f t="shared" si="43"/>
        <v>4920</v>
      </c>
      <c r="H127" s="52">
        <f t="shared" si="44"/>
        <v>57.5</v>
      </c>
      <c r="I127" s="53">
        <f t="shared" si="48"/>
        <v>4600</v>
      </c>
      <c r="J127" s="52">
        <f t="shared" si="45"/>
        <v>53.5</v>
      </c>
      <c r="K127" s="53">
        <f t="shared" si="49"/>
        <v>4280</v>
      </c>
      <c r="L127" s="52">
        <f t="shared" si="46"/>
        <v>49.5</v>
      </c>
      <c r="M127" s="53">
        <f t="shared" si="50"/>
        <v>3960</v>
      </c>
      <c r="N127" s="273">
        <f t="shared" si="51"/>
        <v>40.9</v>
      </c>
      <c r="O127" s="416">
        <v>80</v>
      </c>
      <c r="P127" s="273"/>
      <c r="Q127" s="246"/>
      <c r="R127" s="474"/>
    </row>
    <row r="128" spans="1:18" ht="15">
      <c r="A128" s="706" t="s">
        <v>423</v>
      </c>
      <c r="B128" s="707"/>
      <c r="C128" s="707"/>
      <c r="D128" s="707"/>
      <c r="E128" s="708"/>
      <c r="F128" s="52">
        <f t="shared" si="47"/>
        <v>61.5</v>
      </c>
      <c r="G128" s="53">
        <f t="shared" si="43"/>
        <v>5905</v>
      </c>
      <c r="H128" s="52">
        <f t="shared" si="44"/>
        <v>57.5</v>
      </c>
      <c r="I128" s="53">
        <f t="shared" si="48"/>
        <v>5520</v>
      </c>
      <c r="J128" s="52">
        <f t="shared" si="45"/>
        <v>53.5</v>
      </c>
      <c r="K128" s="53">
        <f t="shared" si="49"/>
        <v>5140</v>
      </c>
      <c r="L128" s="52">
        <f t="shared" si="46"/>
        <v>49.5</v>
      </c>
      <c r="M128" s="53">
        <f t="shared" si="50"/>
        <v>4755</v>
      </c>
      <c r="N128" s="273">
        <f t="shared" si="51"/>
        <v>40.9</v>
      </c>
      <c r="O128" s="416">
        <v>96</v>
      </c>
      <c r="P128" s="273"/>
      <c r="Q128" s="246"/>
      <c r="R128" s="474"/>
    </row>
    <row r="129" spans="1:18" ht="15">
      <c r="A129" s="706" t="s">
        <v>424</v>
      </c>
      <c r="B129" s="707"/>
      <c r="C129" s="707"/>
      <c r="D129" s="707"/>
      <c r="E129" s="708"/>
      <c r="F129" s="52">
        <f t="shared" si="47"/>
        <v>61.5</v>
      </c>
      <c r="G129" s="53">
        <f t="shared" si="43"/>
        <v>7380</v>
      </c>
      <c r="H129" s="52">
        <f t="shared" si="44"/>
        <v>57.5</v>
      </c>
      <c r="I129" s="53">
        <f t="shared" si="48"/>
        <v>6900</v>
      </c>
      <c r="J129" s="52">
        <f t="shared" si="45"/>
        <v>53.5</v>
      </c>
      <c r="K129" s="53">
        <f t="shared" si="49"/>
        <v>6420</v>
      </c>
      <c r="L129" s="52">
        <f t="shared" si="46"/>
        <v>49.5</v>
      </c>
      <c r="M129" s="53">
        <f t="shared" si="50"/>
        <v>5940</v>
      </c>
      <c r="N129" s="273">
        <f t="shared" si="51"/>
        <v>40.9</v>
      </c>
      <c r="O129" s="416">
        <v>120</v>
      </c>
      <c r="P129" s="273"/>
      <c r="Q129" s="246"/>
      <c r="R129" s="488"/>
    </row>
    <row r="130" spans="1:18" ht="15">
      <c r="A130" s="706" t="s">
        <v>649</v>
      </c>
      <c r="B130" s="707"/>
      <c r="C130" s="707"/>
      <c r="D130" s="707"/>
      <c r="E130" s="708"/>
      <c r="F130" s="52">
        <f t="shared" si="47"/>
        <v>61.5</v>
      </c>
      <c r="G130" s="53">
        <f t="shared" si="43"/>
        <v>9225</v>
      </c>
      <c r="H130" s="52">
        <f t="shared" si="44"/>
        <v>57.5</v>
      </c>
      <c r="I130" s="53">
        <f t="shared" si="48"/>
        <v>8625</v>
      </c>
      <c r="J130" s="52">
        <f t="shared" si="45"/>
        <v>53.5</v>
      </c>
      <c r="K130" s="53">
        <f t="shared" si="49"/>
        <v>8025</v>
      </c>
      <c r="L130" s="52">
        <f t="shared" si="46"/>
        <v>49.5</v>
      </c>
      <c r="M130" s="53">
        <f t="shared" si="50"/>
        <v>7425</v>
      </c>
      <c r="N130" s="273">
        <f t="shared" si="51"/>
        <v>40.9</v>
      </c>
      <c r="O130" s="416">
        <v>150</v>
      </c>
      <c r="P130" s="273"/>
      <c r="Q130" s="246"/>
      <c r="R130" s="488"/>
    </row>
    <row r="131" spans="1:18" ht="15">
      <c r="A131" s="706" t="s">
        <v>650</v>
      </c>
      <c r="B131" s="707"/>
      <c r="C131" s="707"/>
      <c r="D131" s="707"/>
      <c r="E131" s="708"/>
      <c r="F131" s="52">
        <f t="shared" si="47"/>
        <v>61.5</v>
      </c>
      <c r="G131" s="53">
        <f t="shared" si="43"/>
        <v>12300</v>
      </c>
      <c r="H131" s="52">
        <f t="shared" si="44"/>
        <v>57.5</v>
      </c>
      <c r="I131" s="53">
        <f t="shared" si="48"/>
        <v>11500</v>
      </c>
      <c r="J131" s="52">
        <f t="shared" si="45"/>
        <v>53.5</v>
      </c>
      <c r="K131" s="53">
        <f t="shared" si="49"/>
        <v>10700</v>
      </c>
      <c r="L131" s="52">
        <f t="shared" si="46"/>
        <v>49.5</v>
      </c>
      <c r="M131" s="53">
        <f t="shared" si="50"/>
        <v>9900</v>
      </c>
      <c r="N131" s="273">
        <f t="shared" si="51"/>
        <v>40.9</v>
      </c>
      <c r="O131" s="416">
        <v>200</v>
      </c>
      <c r="P131" s="273"/>
      <c r="Q131" s="246"/>
      <c r="R131" s="488"/>
    </row>
    <row r="132" spans="1:18" ht="15">
      <c r="A132" s="706" t="s">
        <v>651</v>
      </c>
      <c r="B132" s="707"/>
      <c r="C132" s="707"/>
      <c r="D132" s="707"/>
      <c r="E132" s="708"/>
      <c r="F132" s="52">
        <f t="shared" si="47"/>
        <v>61.5</v>
      </c>
      <c r="G132" s="53">
        <f t="shared" si="43"/>
        <v>13840</v>
      </c>
      <c r="H132" s="52">
        <f t="shared" si="44"/>
        <v>57.5</v>
      </c>
      <c r="I132" s="53">
        <f t="shared" si="48"/>
        <v>12940</v>
      </c>
      <c r="J132" s="52">
        <f t="shared" si="45"/>
        <v>53.5</v>
      </c>
      <c r="K132" s="53">
        <f t="shared" si="49"/>
        <v>12040</v>
      </c>
      <c r="L132" s="52">
        <f t="shared" si="46"/>
        <v>49.5</v>
      </c>
      <c r="M132" s="53">
        <f t="shared" si="50"/>
        <v>11140</v>
      </c>
      <c r="N132" s="273">
        <f t="shared" si="51"/>
        <v>40.9</v>
      </c>
      <c r="O132" s="416">
        <v>225</v>
      </c>
      <c r="P132" s="273"/>
      <c r="Q132" s="246"/>
      <c r="R132" s="488"/>
    </row>
    <row r="133" spans="1:18" ht="15">
      <c r="A133" s="706" t="s">
        <v>652</v>
      </c>
      <c r="B133" s="707"/>
      <c r="C133" s="707"/>
      <c r="D133" s="707"/>
      <c r="E133" s="708"/>
      <c r="F133" s="52">
        <f t="shared" si="47"/>
        <v>61.5</v>
      </c>
      <c r="G133" s="53">
        <f t="shared" si="43"/>
        <v>18450</v>
      </c>
      <c r="H133" s="52">
        <f t="shared" si="44"/>
        <v>57.5</v>
      </c>
      <c r="I133" s="53">
        <f t="shared" si="48"/>
        <v>17250</v>
      </c>
      <c r="J133" s="52">
        <f t="shared" si="45"/>
        <v>53.5</v>
      </c>
      <c r="K133" s="53">
        <f t="shared" si="49"/>
        <v>16050</v>
      </c>
      <c r="L133" s="52">
        <f t="shared" si="46"/>
        <v>49.5</v>
      </c>
      <c r="M133" s="53">
        <f t="shared" si="50"/>
        <v>14850</v>
      </c>
      <c r="N133" s="273">
        <f t="shared" si="51"/>
        <v>40.9</v>
      </c>
      <c r="O133" s="416">
        <v>300</v>
      </c>
      <c r="P133" s="273"/>
      <c r="Q133" s="246"/>
      <c r="R133" s="488"/>
    </row>
    <row r="134" spans="1:18" ht="15">
      <c r="A134" s="706" t="s">
        <v>653</v>
      </c>
      <c r="B134" s="707"/>
      <c r="C134" s="707"/>
      <c r="D134" s="707"/>
      <c r="E134" s="708"/>
      <c r="F134" s="52">
        <f t="shared" si="47"/>
        <v>61.5</v>
      </c>
      <c r="G134" s="53">
        <f t="shared" si="43"/>
        <v>24600</v>
      </c>
      <c r="H134" s="52">
        <f t="shared" si="44"/>
        <v>57.5</v>
      </c>
      <c r="I134" s="53">
        <f t="shared" si="48"/>
        <v>23000</v>
      </c>
      <c r="J134" s="52">
        <f t="shared" si="45"/>
        <v>53.5</v>
      </c>
      <c r="K134" s="53">
        <f t="shared" si="49"/>
        <v>21400</v>
      </c>
      <c r="L134" s="52">
        <f t="shared" si="46"/>
        <v>49.5</v>
      </c>
      <c r="M134" s="53">
        <f t="shared" si="50"/>
        <v>19800</v>
      </c>
      <c r="N134" s="273">
        <f t="shared" si="51"/>
        <v>40.9</v>
      </c>
      <c r="O134" s="416">
        <v>400</v>
      </c>
      <c r="P134" s="273"/>
      <c r="Q134" s="246"/>
      <c r="R134" s="488"/>
    </row>
    <row r="135" spans="1:18" ht="15.75" thickBot="1">
      <c r="A135" s="753" t="s">
        <v>654</v>
      </c>
      <c r="B135" s="754"/>
      <c r="C135" s="754"/>
      <c r="D135" s="754"/>
      <c r="E135" s="755"/>
      <c r="F135" s="50">
        <f t="shared" si="47"/>
        <v>61.5</v>
      </c>
      <c r="G135" s="51">
        <f t="shared" si="43"/>
        <v>36900</v>
      </c>
      <c r="H135" s="50">
        <f t="shared" si="44"/>
        <v>57.5</v>
      </c>
      <c r="I135" s="51">
        <f t="shared" si="48"/>
        <v>34500</v>
      </c>
      <c r="J135" s="50">
        <f t="shared" si="45"/>
        <v>53.5</v>
      </c>
      <c r="K135" s="51">
        <f t="shared" si="49"/>
        <v>32100</v>
      </c>
      <c r="L135" s="50">
        <f t="shared" si="46"/>
        <v>49.5</v>
      </c>
      <c r="M135" s="51">
        <f t="shared" si="50"/>
        <v>29700</v>
      </c>
      <c r="N135" s="273">
        <f t="shared" si="51"/>
        <v>40.9</v>
      </c>
      <c r="O135" s="416">
        <v>600</v>
      </c>
      <c r="P135" s="273"/>
      <c r="Q135" s="236"/>
      <c r="R135" s="475"/>
    </row>
    <row r="136" ht="13.5" thickTop="1"/>
  </sheetData>
  <sheetProtection password="CF7A" sheet="1" objects="1" scenarios="1"/>
  <mergeCells count="133">
    <mergeCell ref="A132:E132"/>
    <mergeCell ref="A133:E133"/>
    <mergeCell ref="A134:E134"/>
    <mergeCell ref="A135:E135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M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M96"/>
    <mergeCell ref="A97:E97"/>
    <mergeCell ref="A98:E98"/>
    <mergeCell ref="A99:E99"/>
    <mergeCell ref="A100:E100"/>
    <mergeCell ref="A101:E101"/>
    <mergeCell ref="A94:E95"/>
    <mergeCell ref="F94:G94"/>
    <mergeCell ref="H94:I94"/>
    <mergeCell ref="J94:K94"/>
    <mergeCell ref="L94:M94"/>
    <mergeCell ref="Q94:R94"/>
    <mergeCell ref="A88:E88"/>
    <mergeCell ref="A89:E89"/>
    <mergeCell ref="A90:E90"/>
    <mergeCell ref="A91:E91"/>
    <mergeCell ref="A92:E92"/>
    <mergeCell ref="A93:M93"/>
    <mergeCell ref="A82:E82"/>
    <mergeCell ref="A83:E83"/>
    <mergeCell ref="A84:E84"/>
    <mergeCell ref="A85:E85"/>
    <mergeCell ref="A86:E86"/>
    <mergeCell ref="A87:E87"/>
    <mergeCell ref="A76:E76"/>
    <mergeCell ref="A77:M77"/>
    <mergeCell ref="A78:E78"/>
    <mergeCell ref="A79:E79"/>
    <mergeCell ref="A80:E80"/>
    <mergeCell ref="A81:E81"/>
    <mergeCell ref="Q69:R69"/>
    <mergeCell ref="A71:M71"/>
    <mergeCell ref="A72:E72"/>
    <mergeCell ref="A73:E73"/>
    <mergeCell ref="A74:E74"/>
    <mergeCell ref="A75:E75"/>
    <mergeCell ref="B60:D60"/>
    <mergeCell ref="B61:D61"/>
    <mergeCell ref="B62:D62"/>
    <mergeCell ref="A68:M68"/>
    <mergeCell ref="A69:E70"/>
    <mergeCell ref="F69:G69"/>
    <mergeCell ref="H69:I69"/>
    <mergeCell ref="J69:K69"/>
    <mergeCell ref="L69:M69"/>
    <mergeCell ref="B54:D54"/>
    <mergeCell ref="B55:D55"/>
    <mergeCell ref="B56:D56"/>
    <mergeCell ref="B57:D57"/>
    <mergeCell ref="B58:D58"/>
    <mergeCell ref="B59:D59"/>
    <mergeCell ref="Q42:R42"/>
    <mergeCell ref="A51:M51"/>
    <mergeCell ref="A52:A53"/>
    <mergeCell ref="B52:D53"/>
    <mergeCell ref="F52:G52"/>
    <mergeCell ref="H52:I52"/>
    <mergeCell ref="J52:K52"/>
    <mergeCell ref="L52:M52"/>
    <mergeCell ref="N52:O52"/>
    <mergeCell ref="Q52:R52"/>
    <mergeCell ref="A38:E38"/>
    <mergeCell ref="A39:E39"/>
    <mergeCell ref="A40:E40"/>
    <mergeCell ref="A41:M41"/>
    <mergeCell ref="A42:E43"/>
    <mergeCell ref="F42:G42"/>
    <mergeCell ref="H42:I42"/>
    <mergeCell ref="J42:K42"/>
    <mergeCell ref="L42:M42"/>
    <mergeCell ref="A36:E37"/>
    <mergeCell ref="F36:G36"/>
    <mergeCell ref="H36:I36"/>
    <mergeCell ref="J36:K36"/>
    <mergeCell ref="L36:M36"/>
    <mergeCell ref="Q36:R36"/>
    <mergeCell ref="A30:E30"/>
    <mergeCell ref="A31:E31"/>
    <mergeCell ref="A32:E32"/>
    <mergeCell ref="A33:E33"/>
    <mergeCell ref="A34:E34"/>
    <mergeCell ref="A35:M35"/>
    <mergeCell ref="Q14:R14"/>
    <mergeCell ref="A16:C22"/>
    <mergeCell ref="A23:C26"/>
    <mergeCell ref="A27:M27"/>
    <mergeCell ref="A28:E29"/>
    <mergeCell ref="F28:G28"/>
    <mergeCell ref="H28:I28"/>
    <mergeCell ref="J28:K28"/>
    <mergeCell ref="L28:M28"/>
    <mergeCell ref="Q28:R28"/>
    <mergeCell ref="A9:M9"/>
    <mergeCell ref="A10:M10"/>
    <mergeCell ref="A14:C15"/>
    <mergeCell ref="F14:G14"/>
    <mergeCell ref="H14:I14"/>
    <mergeCell ref="J14:K14"/>
    <mergeCell ref="L14:M14"/>
  </mergeCells>
  <hyperlinks>
    <hyperlink ref="L6" r:id="rId1" display="info@agrohoztorg.ru"/>
    <hyperlink ref="L7" r:id="rId2" display="www.agrohoztorg.ru"/>
  </hyperlink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scale="6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120" zoomScaleNormal="120" zoomScalePageLayoutView="0" workbookViewId="0" topLeftCell="A1">
      <selection activeCell="N16" sqref="N16:R16"/>
    </sheetView>
  </sheetViews>
  <sheetFormatPr defaultColWidth="9.140625" defaultRowHeight="12.75"/>
  <cols>
    <col min="5" max="5" width="20.421875" style="0" customWidth="1"/>
    <col min="7" max="7" width="13.57421875" style="0" customWidth="1"/>
    <col min="9" max="9" width="13.57421875" style="0" customWidth="1"/>
    <col min="11" max="11" width="13.57421875" style="0" customWidth="1"/>
    <col min="13" max="13" width="13.57421875" style="0" customWidth="1"/>
    <col min="14" max="14" width="10.8515625" style="0" hidden="1" customWidth="1"/>
    <col min="15" max="15" width="13.57421875" style="0" hidden="1" customWidth="1"/>
    <col min="16" max="17" width="9.140625" style="0" hidden="1" customWidth="1"/>
    <col min="18" max="18" width="13.57421875" style="0" hidden="1" customWidth="1"/>
  </cols>
  <sheetData>
    <row r="1" spans="1:18" ht="50.25" customHeight="1" thickBot="1">
      <c r="A1" s="573" t="s">
        <v>8</v>
      </c>
      <c r="B1" s="574"/>
      <c r="C1" s="575"/>
      <c r="D1" s="576"/>
      <c r="E1" s="14"/>
      <c r="F1" s="4"/>
      <c r="G1" s="14"/>
      <c r="H1" s="4"/>
      <c r="I1" s="14"/>
      <c r="J1" s="4"/>
      <c r="K1" s="568" t="s">
        <v>516</v>
      </c>
      <c r="L1" s="549"/>
      <c r="M1" s="14"/>
      <c r="N1" s="271"/>
      <c r="O1" s="331"/>
      <c r="P1" s="271"/>
      <c r="Q1" s="220"/>
      <c r="R1" s="221"/>
    </row>
    <row r="2" spans="1:18" ht="15" customHeight="1">
      <c r="A2" s="556" t="s">
        <v>9</v>
      </c>
      <c r="B2" s="6"/>
      <c r="C2" s="9"/>
      <c r="D2" s="7"/>
      <c r="E2" s="15"/>
      <c r="F2" s="7"/>
      <c r="G2" s="15"/>
      <c r="H2" s="7"/>
      <c r="I2" s="15"/>
      <c r="J2" s="7"/>
      <c r="K2" s="550" t="s">
        <v>49</v>
      </c>
      <c r="L2" s="551"/>
      <c r="M2" s="55"/>
      <c r="N2" s="271"/>
      <c r="O2" s="331"/>
      <c r="P2" s="271"/>
      <c r="Q2" s="222"/>
      <c r="R2" s="223"/>
    </row>
    <row r="3" spans="1:18" ht="15" customHeight="1">
      <c r="A3" s="7"/>
      <c r="B3" s="7"/>
      <c r="C3" s="7"/>
      <c r="D3" s="7"/>
      <c r="E3" s="7"/>
      <c r="F3" s="43"/>
      <c r="G3" s="43"/>
      <c r="H3" s="43"/>
      <c r="I3" s="43"/>
      <c r="J3" s="7"/>
      <c r="K3" s="552" t="s">
        <v>21</v>
      </c>
      <c r="L3" s="551" t="s">
        <v>655</v>
      </c>
      <c r="M3" s="58"/>
      <c r="N3" s="271"/>
      <c r="O3" s="331"/>
      <c r="P3" s="271"/>
      <c r="Q3" s="224"/>
      <c r="R3" s="224"/>
    </row>
    <row r="4" spans="1:18" ht="15" customHeight="1">
      <c r="A4" s="7"/>
      <c r="B4" s="7"/>
      <c r="C4" s="7"/>
      <c r="D4" s="7"/>
      <c r="E4" s="7"/>
      <c r="F4" s="43"/>
      <c r="G4" s="43"/>
      <c r="H4" s="43"/>
      <c r="I4" s="43"/>
      <c r="J4" s="7"/>
      <c r="K4" s="552" t="s">
        <v>21</v>
      </c>
      <c r="L4" s="551" t="s">
        <v>10</v>
      </c>
      <c r="M4" s="58"/>
      <c r="N4" s="271"/>
      <c r="O4" s="331"/>
      <c r="P4" s="271"/>
      <c r="Q4" s="224"/>
      <c r="R4" s="224"/>
    </row>
    <row r="5" spans="1:18" ht="15" customHeight="1">
      <c r="A5" s="7"/>
      <c r="B5" s="7"/>
      <c r="C5" s="7"/>
      <c r="D5" s="7"/>
      <c r="E5" s="43"/>
      <c r="F5" s="43"/>
      <c r="G5" s="43"/>
      <c r="H5" s="43"/>
      <c r="I5" s="43"/>
      <c r="J5" s="7"/>
      <c r="K5" s="552" t="s">
        <v>425</v>
      </c>
      <c r="L5" s="551" t="s">
        <v>11</v>
      </c>
      <c r="M5" s="58"/>
      <c r="N5" s="271"/>
      <c r="O5" s="331"/>
      <c r="P5" s="271"/>
      <c r="Q5" s="224"/>
      <c r="R5" s="224"/>
    </row>
    <row r="6" spans="2:18" ht="15" customHeight="1">
      <c r="B6" s="1"/>
      <c r="C6" s="10"/>
      <c r="D6" s="2"/>
      <c r="E6" s="43"/>
      <c r="F6" s="43"/>
      <c r="G6" s="43"/>
      <c r="H6" s="43"/>
      <c r="I6" s="43"/>
      <c r="J6" s="2"/>
      <c r="K6" s="553" t="s">
        <v>12</v>
      </c>
      <c r="L6" s="547" t="s">
        <v>656</v>
      </c>
      <c r="M6" s="61"/>
      <c r="N6" s="272"/>
      <c r="O6" s="332"/>
      <c r="P6" s="273"/>
      <c r="Q6" s="224"/>
      <c r="R6" s="224"/>
    </row>
    <row r="7" spans="1:18" ht="15" customHeight="1">
      <c r="A7" s="23"/>
      <c r="B7" s="23"/>
      <c r="C7" s="22"/>
      <c r="D7" s="2"/>
      <c r="E7" s="16"/>
      <c r="F7" s="288"/>
      <c r="G7" s="289"/>
      <c r="H7" s="288"/>
      <c r="I7" s="289"/>
      <c r="J7" s="288"/>
      <c r="K7" s="554" t="s">
        <v>214</v>
      </c>
      <c r="L7" s="555" t="s">
        <v>213</v>
      </c>
      <c r="M7" s="291"/>
      <c r="N7" s="272"/>
      <c r="O7" s="332"/>
      <c r="P7" s="273"/>
      <c r="Q7" s="225"/>
      <c r="R7" s="225"/>
    </row>
    <row r="8" spans="1:18" ht="15" customHeight="1">
      <c r="A8" s="23"/>
      <c r="B8" s="23"/>
      <c r="C8" s="22"/>
      <c r="D8" s="2"/>
      <c r="E8" s="16"/>
      <c r="F8" s="288"/>
      <c r="G8" s="289"/>
      <c r="H8" s="288"/>
      <c r="I8" s="289"/>
      <c r="J8" s="288"/>
      <c r="K8" s="178"/>
      <c r="L8" s="290"/>
      <c r="M8" s="291"/>
      <c r="N8" s="272"/>
      <c r="O8" s="332"/>
      <c r="P8" s="273"/>
      <c r="Q8" s="225"/>
      <c r="R8" s="225"/>
    </row>
    <row r="9" spans="1:18" ht="15" customHeight="1">
      <c r="A9" s="23"/>
      <c r="B9" s="23"/>
      <c r="C9" s="22"/>
      <c r="D9" s="2"/>
      <c r="E9" s="786" t="s">
        <v>744</v>
      </c>
      <c r="F9" s="786"/>
      <c r="G9" s="786"/>
      <c r="H9" s="786"/>
      <c r="I9" s="786"/>
      <c r="J9" s="288"/>
      <c r="K9" s="178"/>
      <c r="L9" s="290"/>
      <c r="M9" s="291"/>
      <c r="N9" s="272"/>
      <c r="O9" s="332"/>
      <c r="P9" s="273"/>
      <c r="Q9" s="225"/>
      <c r="R9" s="225"/>
    </row>
    <row r="10" spans="1:18" ht="50.25" customHeight="1">
      <c r="A10" s="1027" t="s">
        <v>742</v>
      </c>
      <c r="B10" s="1027"/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  <c r="N10" s="272"/>
      <c r="O10" s="332"/>
      <c r="P10" s="273"/>
      <c r="Q10" s="225"/>
      <c r="R10" s="225"/>
    </row>
    <row r="11" spans="1:18" ht="29.25" customHeight="1">
      <c r="A11" s="1028" t="s">
        <v>667</v>
      </c>
      <c r="B11" s="1029"/>
      <c r="C11" s="1029"/>
      <c r="D11" s="1029"/>
      <c r="E11" s="1030"/>
      <c r="F11" s="1034" t="s">
        <v>48</v>
      </c>
      <c r="G11" s="1035"/>
      <c r="H11" s="1034" t="s">
        <v>45</v>
      </c>
      <c r="I11" s="1035"/>
      <c r="J11" s="1034" t="s">
        <v>46</v>
      </c>
      <c r="K11" s="1035"/>
      <c r="L11" s="1034" t="s">
        <v>47</v>
      </c>
      <c r="M11" s="1035"/>
      <c r="N11" s="277" t="s">
        <v>665</v>
      </c>
      <c r="O11" s="337" t="s">
        <v>16</v>
      </c>
      <c r="P11" s="273"/>
      <c r="Q11" s="981"/>
      <c r="R11" s="982"/>
    </row>
    <row r="12" spans="1:18" ht="29.25" customHeight="1" thickBot="1">
      <c r="A12" s="1031"/>
      <c r="B12" s="1032"/>
      <c r="C12" s="1032"/>
      <c r="D12" s="1032"/>
      <c r="E12" s="1033"/>
      <c r="F12" s="577" t="s">
        <v>666</v>
      </c>
      <c r="G12" s="578" t="s">
        <v>7</v>
      </c>
      <c r="H12" s="577" t="s">
        <v>666</v>
      </c>
      <c r="I12" s="578" t="s">
        <v>7</v>
      </c>
      <c r="J12" s="577" t="s">
        <v>666</v>
      </c>
      <c r="K12" s="578" t="s">
        <v>7</v>
      </c>
      <c r="L12" s="577" t="s">
        <v>666</v>
      </c>
      <c r="M12" s="578" t="s">
        <v>7</v>
      </c>
      <c r="N12" s="1016" t="s">
        <v>746</v>
      </c>
      <c r="O12" s="1017"/>
      <c r="P12" s="170"/>
      <c r="Q12" s="244"/>
      <c r="R12" s="486"/>
    </row>
    <row r="13" spans="1:18" ht="32.25" customHeight="1" thickTop="1">
      <c r="A13" s="1018" t="s">
        <v>735</v>
      </c>
      <c r="B13" s="1019"/>
      <c r="C13" s="1019"/>
      <c r="D13" s="1019"/>
      <c r="E13" s="1020"/>
      <c r="F13" s="569">
        <f>CEILING(G13/N13,0.1)</f>
        <v>33.4</v>
      </c>
      <c r="G13" s="571">
        <f>CEILING(1.3*O13,10)</f>
        <v>19990</v>
      </c>
      <c r="H13" s="569">
        <f>CEILING(I13/N13,0.1)</f>
        <v>32.1</v>
      </c>
      <c r="I13" s="571">
        <f>CEILING(1.25*O13,10)</f>
        <v>19220</v>
      </c>
      <c r="J13" s="569">
        <f>CEILING(K13/N13,0.1)</f>
        <v>30.8</v>
      </c>
      <c r="K13" s="571">
        <f>CEILING(1.2*O13,10)</f>
        <v>18450</v>
      </c>
      <c r="L13" s="569">
        <f>CEILING(M13/N13,0.1)</f>
        <v>29.5</v>
      </c>
      <c r="M13" s="571">
        <f>CEILING(1.15*O13,5)</f>
        <v>17680</v>
      </c>
      <c r="N13" s="274">
        <v>600</v>
      </c>
      <c r="O13" s="335">
        <v>15370</v>
      </c>
      <c r="P13" s="274"/>
      <c r="Q13" s="235"/>
      <c r="R13" s="472">
        <f>CEILING(O13*1.15,10)</f>
        <v>17680</v>
      </c>
    </row>
    <row r="14" spans="1:18" ht="32.25" customHeight="1">
      <c r="A14" s="1021" t="s">
        <v>737</v>
      </c>
      <c r="B14" s="1022"/>
      <c r="C14" s="1022"/>
      <c r="D14" s="1022"/>
      <c r="E14" s="1023"/>
      <c r="F14" s="569">
        <f>CEILING(G14/N14,0.1)</f>
        <v>40</v>
      </c>
      <c r="G14" s="571">
        <f>CEILING(1.3*O14,10)</f>
        <v>23980</v>
      </c>
      <c r="H14" s="569">
        <f>CEILING(I14/N14,0.1)</f>
        <v>38.5</v>
      </c>
      <c r="I14" s="571">
        <f>CEILING(1.25*O14,10)</f>
        <v>23050</v>
      </c>
      <c r="J14" s="569">
        <f>CEILING(K14/N14,0.1)</f>
        <v>36.9</v>
      </c>
      <c r="K14" s="571">
        <f>CEILING(1.2*O14,10)</f>
        <v>22130</v>
      </c>
      <c r="L14" s="569">
        <f>CEILING(M14/N14,0.1)</f>
        <v>35.4</v>
      </c>
      <c r="M14" s="571">
        <f>CEILING(1.15*O14,5)</f>
        <v>21210</v>
      </c>
      <c r="N14" s="274">
        <v>600</v>
      </c>
      <c r="O14" s="335">
        <v>18440</v>
      </c>
      <c r="P14" s="274"/>
      <c r="Q14" s="235"/>
      <c r="R14" s="472">
        <f>CEILING(O14*1.15,10)</f>
        <v>21210</v>
      </c>
    </row>
    <row r="15" spans="1:18" ht="32.25" customHeight="1">
      <c r="A15" s="1021" t="s">
        <v>736</v>
      </c>
      <c r="B15" s="1022"/>
      <c r="C15" s="1022"/>
      <c r="D15" s="1022"/>
      <c r="E15" s="1023"/>
      <c r="F15" s="569">
        <f>CEILING(G15/N15,0.1)</f>
        <v>51.2</v>
      </c>
      <c r="G15" s="571">
        <f>CEILING(1.3*O15,10)</f>
        <v>30700</v>
      </c>
      <c r="H15" s="569">
        <f>CEILING(I15/N15,0.1)</f>
        <v>49.2</v>
      </c>
      <c r="I15" s="571">
        <f>CEILING(1.25*O15,10)</f>
        <v>29520</v>
      </c>
      <c r="J15" s="569">
        <f>CEILING(K15/N15,0.1)</f>
        <v>47.300000000000004</v>
      </c>
      <c r="K15" s="571">
        <f>CEILING(1.2*O15,10)</f>
        <v>28340</v>
      </c>
      <c r="L15" s="569">
        <f>CEILING(M15/N15,0.1)</f>
        <v>45.300000000000004</v>
      </c>
      <c r="M15" s="571">
        <f>CEILING(1.15*O15,5)</f>
        <v>27160</v>
      </c>
      <c r="N15" s="274">
        <v>600</v>
      </c>
      <c r="O15" s="335">
        <v>23615</v>
      </c>
      <c r="P15" s="274"/>
      <c r="Q15" s="235"/>
      <c r="R15" s="472">
        <f>CEILING(O15*1.15,10)</f>
        <v>27160</v>
      </c>
    </row>
    <row r="16" spans="1:18" ht="32.25" customHeight="1">
      <c r="A16" s="1021" t="s">
        <v>738</v>
      </c>
      <c r="B16" s="1022"/>
      <c r="C16" s="1022"/>
      <c r="D16" s="1022"/>
      <c r="E16" s="1023"/>
      <c r="F16" s="569">
        <f>CEILING(G16/N16,0.1)</f>
        <v>62.400000000000006</v>
      </c>
      <c r="G16" s="571">
        <f>CEILING(1.3*O16,10)</f>
        <v>37420</v>
      </c>
      <c r="H16" s="569">
        <f>CEILING(I16/N16,0.1)</f>
        <v>60</v>
      </c>
      <c r="I16" s="571">
        <f>CEILING(1.25*O16,10)</f>
        <v>35980</v>
      </c>
      <c r="J16" s="569">
        <f>CEILING(K16/N16,0.1)</f>
        <v>57.6</v>
      </c>
      <c r="K16" s="571">
        <f>CEILING(1.2*O16,10)</f>
        <v>34540</v>
      </c>
      <c r="L16" s="569">
        <f>CEILING(M16/N16,0.1)</f>
        <v>55.2</v>
      </c>
      <c r="M16" s="571">
        <f>CEILING(1.15*O16,5)</f>
        <v>33100</v>
      </c>
      <c r="N16" s="274">
        <v>600</v>
      </c>
      <c r="O16" s="335">
        <v>28780</v>
      </c>
      <c r="P16" s="274"/>
      <c r="Q16" s="640"/>
      <c r="R16" s="472"/>
    </row>
    <row r="17" spans="1:18" ht="32.25" customHeight="1" thickBot="1">
      <c r="A17" s="1024" t="s">
        <v>739</v>
      </c>
      <c r="B17" s="1025"/>
      <c r="C17" s="1025"/>
      <c r="D17" s="1025"/>
      <c r="E17" s="1026"/>
      <c r="F17" s="570">
        <f>CEILING(G17/N17,0.1)</f>
        <v>65.8</v>
      </c>
      <c r="G17" s="572">
        <f>CEILING(1.3*O17,10)</f>
        <v>39470</v>
      </c>
      <c r="H17" s="570">
        <f>CEILING(I17/N17,0.1)</f>
        <v>63.300000000000004</v>
      </c>
      <c r="I17" s="572">
        <f>CEILING(1.25*O17,10)</f>
        <v>37950</v>
      </c>
      <c r="J17" s="570">
        <f>CEILING(K17/N17,0.1)</f>
        <v>60.800000000000004</v>
      </c>
      <c r="K17" s="572">
        <f>CEILING(1.2*O17,10)</f>
        <v>36440</v>
      </c>
      <c r="L17" s="570">
        <f>CEILING(M17/N17,0.1)</f>
        <v>58.2</v>
      </c>
      <c r="M17" s="572">
        <f>CEILING(1.15*O17,5)</f>
        <v>34915</v>
      </c>
      <c r="N17" s="540">
        <v>600</v>
      </c>
      <c r="O17" s="541">
        <v>30360</v>
      </c>
      <c r="P17" s="540"/>
      <c r="Q17" s="233"/>
      <c r="R17" s="472">
        <f>CEILING(O17*1.15,10)</f>
        <v>34920</v>
      </c>
    </row>
    <row r="18" ht="13.5" thickTop="1"/>
  </sheetData>
  <sheetProtection password="CF7A" sheet="1"/>
  <mergeCells count="14">
    <mergeCell ref="A17:E17"/>
    <mergeCell ref="A10:M10"/>
    <mergeCell ref="A11:E12"/>
    <mergeCell ref="F11:G11"/>
    <mergeCell ref="H11:I11"/>
    <mergeCell ref="J11:K11"/>
    <mergeCell ref="L11:M11"/>
    <mergeCell ref="A16:E16"/>
    <mergeCell ref="N12:O12"/>
    <mergeCell ref="E9:I9"/>
    <mergeCell ref="Q11:R11"/>
    <mergeCell ref="A13:E13"/>
    <mergeCell ref="A14:E14"/>
    <mergeCell ref="A15:E15"/>
  </mergeCells>
  <hyperlinks>
    <hyperlink ref="L6" r:id="rId1" display="info@agrohoztorg.ru"/>
    <hyperlink ref="L7" r:id="rId2" display="www.agrohoztorg.ru"/>
  </hyperlink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90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O11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5" max="5" width="13.140625" style="0" customWidth="1"/>
    <col min="6" max="6" width="4.28125" style="0" customWidth="1"/>
    <col min="7" max="10" width="11.00390625" style="0" customWidth="1"/>
  </cols>
  <sheetData>
    <row r="1" spans="1:10" s="5" customFormat="1" ht="35.25" customHeight="1" thickBot="1">
      <c r="A1" s="190" t="s">
        <v>8</v>
      </c>
      <c r="B1" s="3"/>
      <c r="C1" s="8"/>
      <c r="D1" s="4"/>
      <c r="E1" s="14"/>
      <c r="F1" s="4"/>
      <c r="G1" s="4"/>
      <c r="H1" s="548" t="s">
        <v>516</v>
      </c>
      <c r="I1" s="4"/>
      <c r="J1" s="14"/>
    </row>
    <row r="2" spans="1:10" s="7" customFormat="1" ht="16.5" customHeight="1">
      <c r="A2" s="558" t="s">
        <v>281</v>
      </c>
      <c r="B2" s="6"/>
      <c r="C2" s="9"/>
      <c r="E2" s="15"/>
      <c r="H2" s="550" t="s">
        <v>49</v>
      </c>
      <c r="I2" s="551"/>
      <c r="J2" s="57"/>
    </row>
    <row r="3" spans="6:10" s="7" customFormat="1" ht="13.5" customHeight="1">
      <c r="F3" s="43"/>
      <c r="H3" s="552" t="s">
        <v>21</v>
      </c>
      <c r="I3" s="551" t="s">
        <v>10</v>
      </c>
      <c r="J3" s="58"/>
    </row>
    <row r="4" spans="5:10" s="7" customFormat="1" ht="12.75" customHeight="1">
      <c r="E4" s="43"/>
      <c r="F4" s="43"/>
      <c r="H4" s="552" t="s">
        <v>22</v>
      </c>
      <c r="I4" s="551" t="s">
        <v>11</v>
      </c>
      <c r="J4" s="58"/>
    </row>
    <row r="5" spans="2:12" ht="12.75" customHeight="1">
      <c r="B5" s="1"/>
      <c r="C5" s="10"/>
      <c r="D5" s="2"/>
      <c r="E5" s="43"/>
      <c r="F5" s="43"/>
      <c r="G5" s="2"/>
      <c r="H5" s="553" t="s">
        <v>12</v>
      </c>
      <c r="I5" s="547" t="s">
        <v>656</v>
      </c>
      <c r="J5" s="61"/>
      <c r="K5" s="179"/>
      <c r="L5" s="179"/>
    </row>
    <row r="6" spans="1:12" ht="12.75" customHeight="1">
      <c r="A6" s="23"/>
      <c r="B6" s="23"/>
      <c r="C6" s="22"/>
      <c r="D6" s="2"/>
      <c r="E6" s="191"/>
      <c r="F6" s="191"/>
      <c r="G6" s="2"/>
      <c r="H6" s="553" t="s">
        <v>214</v>
      </c>
      <c r="I6" s="547" t="s">
        <v>213</v>
      </c>
      <c r="J6" s="19"/>
      <c r="K6" s="179"/>
      <c r="L6" s="179"/>
    </row>
    <row r="7" spans="1:15" ht="12.75" customHeight="1">
      <c r="A7" s="23"/>
      <c r="B7" s="23"/>
      <c r="C7" s="22"/>
      <c r="D7" s="2"/>
      <c r="E7" s="191"/>
      <c r="F7" s="191"/>
      <c r="G7" s="191"/>
      <c r="H7" s="191"/>
      <c r="I7" s="191"/>
      <c r="J7" s="2"/>
      <c r="K7" s="20"/>
      <c r="L7" s="13"/>
      <c r="M7" s="19"/>
      <c r="N7" s="179"/>
      <c r="O7" s="179"/>
    </row>
    <row r="8" spans="1:10" ht="26.25" customHeight="1">
      <c r="A8" s="1036" t="s">
        <v>282</v>
      </c>
      <c r="B8" s="1036"/>
      <c r="C8" s="1036"/>
      <c r="D8" s="1036"/>
      <c r="E8" s="1036"/>
      <c r="F8" s="1036"/>
      <c r="G8" s="1036"/>
      <c r="H8" s="1036"/>
      <c r="I8" s="1036"/>
      <c r="J8" s="1036"/>
    </row>
    <row r="9" spans="1:10" ht="12.7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2:5" ht="12.75">
      <c r="B10" s="1053" t="s">
        <v>334</v>
      </c>
      <c r="C10" s="1054"/>
      <c r="D10" s="1054"/>
      <c r="E10" s="1054"/>
    </row>
    <row r="11" spans="1:5" ht="13.5" thickBot="1">
      <c r="A11" s="193"/>
      <c r="B11" s="1055"/>
      <c r="C11" s="1056"/>
      <c r="D11" s="1056"/>
      <c r="E11" s="1056"/>
    </row>
    <row r="12" spans="2:10" ht="13.5" thickTop="1">
      <c r="B12" s="194"/>
      <c r="G12" s="1049" t="s">
        <v>283</v>
      </c>
      <c r="H12" s="1050"/>
      <c r="I12" s="1069" t="s">
        <v>284</v>
      </c>
      <c r="J12" s="1049"/>
    </row>
    <row r="13" spans="2:10" ht="12.75">
      <c r="B13" s="194"/>
      <c r="G13" s="1051" t="s">
        <v>285</v>
      </c>
      <c r="H13" s="1052"/>
      <c r="I13" s="1070" t="s">
        <v>286</v>
      </c>
      <c r="J13" s="1051"/>
    </row>
    <row r="14" spans="2:10" ht="12.75">
      <c r="B14" s="194"/>
      <c r="G14" s="1051" t="s">
        <v>287</v>
      </c>
      <c r="H14" s="1052"/>
      <c r="I14" s="1070" t="s">
        <v>288</v>
      </c>
      <c r="J14" s="1051"/>
    </row>
    <row r="15" spans="2:10" ht="12.75">
      <c r="B15" s="194"/>
      <c r="G15" s="1051" t="s">
        <v>289</v>
      </c>
      <c r="H15" s="1052"/>
      <c r="I15" s="1070" t="s">
        <v>290</v>
      </c>
      <c r="J15" s="1051"/>
    </row>
    <row r="16" spans="2:10" ht="12.75">
      <c r="B16" s="194"/>
      <c r="G16" s="1051" t="s">
        <v>291</v>
      </c>
      <c r="H16" s="1052"/>
      <c r="I16" s="1070" t="s">
        <v>292</v>
      </c>
      <c r="J16" s="1051"/>
    </row>
    <row r="17" spans="2:10" ht="12.75">
      <c r="B17" s="194"/>
      <c r="G17" s="1051" t="s">
        <v>293</v>
      </c>
      <c r="H17" s="1052"/>
      <c r="I17" s="1070" t="s">
        <v>294</v>
      </c>
      <c r="J17" s="1051"/>
    </row>
    <row r="18" spans="2:10" ht="12.75">
      <c r="B18" s="194"/>
      <c r="G18" s="1051" t="s">
        <v>295</v>
      </c>
      <c r="H18" s="1052"/>
      <c r="I18" s="1070" t="s">
        <v>296</v>
      </c>
      <c r="J18" s="1051"/>
    </row>
    <row r="19" spans="2:10" ht="12.75">
      <c r="B19" s="194"/>
      <c r="G19" s="1072" t="s">
        <v>297</v>
      </c>
      <c r="H19" s="1073"/>
      <c r="I19" s="1073" t="s">
        <v>298</v>
      </c>
      <c r="J19" s="1074"/>
    </row>
    <row r="20" ht="12.75">
      <c r="B20" s="194"/>
    </row>
    <row r="21" ht="12.75">
      <c r="B21" s="148"/>
    </row>
    <row r="23" spans="2:5" ht="12.75">
      <c r="B23" s="1053" t="s">
        <v>335</v>
      </c>
      <c r="C23" s="1054"/>
      <c r="D23" s="1054"/>
      <c r="E23" s="1054"/>
    </row>
    <row r="24" spans="1:5" ht="13.5" thickBot="1">
      <c r="A24" s="193"/>
      <c r="B24" s="1055"/>
      <c r="C24" s="1056"/>
      <c r="D24" s="1056"/>
      <c r="E24" s="1056"/>
    </row>
    <row r="25" spans="2:10" ht="13.5" thickTop="1">
      <c r="B25" s="194"/>
      <c r="G25" s="1050" t="s">
        <v>283</v>
      </c>
      <c r="H25" s="1071"/>
      <c r="I25" s="1071" t="s">
        <v>299</v>
      </c>
      <c r="J25" s="1069"/>
    </row>
    <row r="26" spans="2:10" ht="12.75">
      <c r="B26" s="194"/>
      <c r="G26" s="1052" t="s">
        <v>285</v>
      </c>
      <c r="H26" s="1075"/>
      <c r="I26" s="1075" t="s">
        <v>671</v>
      </c>
      <c r="J26" s="1070"/>
    </row>
    <row r="27" spans="2:10" ht="12.75">
      <c r="B27" s="194"/>
      <c r="G27" s="1052" t="s">
        <v>287</v>
      </c>
      <c r="H27" s="1075"/>
      <c r="I27" s="1075" t="s">
        <v>300</v>
      </c>
      <c r="J27" s="1070"/>
    </row>
    <row r="28" spans="2:10" ht="12.75">
      <c r="B28" s="194"/>
      <c r="G28" s="1052" t="s">
        <v>289</v>
      </c>
      <c r="H28" s="1075"/>
      <c r="I28" s="1075" t="s">
        <v>301</v>
      </c>
      <c r="J28" s="1070"/>
    </row>
    <row r="29" spans="2:10" ht="12.75">
      <c r="B29" s="194"/>
      <c r="G29" s="1052" t="s">
        <v>291</v>
      </c>
      <c r="H29" s="1075"/>
      <c r="I29" s="1075" t="s">
        <v>292</v>
      </c>
      <c r="J29" s="1070"/>
    </row>
    <row r="30" spans="2:10" ht="12.75">
      <c r="B30" s="194"/>
      <c r="G30" s="1052" t="s">
        <v>293</v>
      </c>
      <c r="H30" s="1075"/>
      <c r="I30" s="1075" t="s">
        <v>294</v>
      </c>
      <c r="J30" s="1070"/>
    </row>
    <row r="31" spans="2:10" ht="12.75">
      <c r="B31" s="194"/>
      <c r="G31" s="1052" t="s">
        <v>295</v>
      </c>
      <c r="H31" s="1075"/>
      <c r="I31" s="1075" t="s">
        <v>302</v>
      </c>
      <c r="J31" s="1070"/>
    </row>
    <row r="32" spans="2:10" ht="12.75">
      <c r="B32" s="194"/>
      <c r="G32" s="1072" t="s">
        <v>297</v>
      </c>
      <c r="H32" s="1073"/>
      <c r="I32" s="1073" t="s">
        <v>303</v>
      </c>
      <c r="J32" s="1074"/>
    </row>
    <row r="33" ht="12.75">
      <c r="B33" s="194"/>
    </row>
    <row r="34" ht="12.75">
      <c r="B34" s="148"/>
    </row>
    <row r="36" spans="2:5" ht="12.75">
      <c r="B36" s="1053" t="s">
        <v>336</v>
      </c>
      <c r="C36" s="1054"/>
      <c r="D36" s="1054"/>
      <c r="E36" s="1054"/>
    </row>
    <row r="37" spans="1:5" ht="13.5" thickBot="1">
      <c r="A37" s="193"/>
      <c r="B37" s="1055"/>
      <c r="C37" s="1056"/>
      <c r="D37" s="1056"/>
      <c r="E37" s="1056"/>
    </row>
    <row r="38" spans="2:10" ht="13.5" thickTop="1">
      <c r="B38" s="194"/>
      <c r="G38" s="1050" t="s">
        <v>283</v>
      </c>
      <c r="H38" s="1071"/>
      <c r="I38" s="1071" t="s">
        <v>304</v>
      </c>
      <c r="J38" s="1069"/>
    </row>
    <row r="39" spans="2:10" ht="12.75">
      <c r="B39" s="194"/>
      <c r="G39" s="1052" t="s">
        <v>285</v>
      </c>
      <c r="H39" s="1075"/>
      <c r="I39" s="1075" t="s">
        <v>671</v>
      </c>
      <c r="J39" s="1070"/>
    </row>
    <row r="40" spans="2:10" ht="12.75">
      <c r="B40" s="194"/>
      <c r="G40" s="1052" t="s">
        <v>287</v>
      </c>
      <c r="H40" s="1075"/>
      <c r="I40" s="1075" t="s">
        <v>305</v>
      </c>
      <c r="J40" s="1070"/>
    </row>
    <row r="41" spans="2:10" ht="12.75">
      <c r="B41" s="194"/>
      <c r="G41" s="1052" t="s">
        <v>289</v>
      </c>
      <c r="H41" s="1075"/>
      <c r="I41" s="1075" t="s">
        <v>301</v>
      </c>
      <c r="J41" s="1070"/>
    </row>
    <row r="42" spans="2:10" ht="12.75">
      <c r="B42" s="194"/>
      <c r="G42" s="1052" t="s">
        <v>291</v>
      </c>
      <c r="H42" s="1075"/>
      <c r="I42" s="1075" t="s">
        <v>292</v>
      </c>
      <c r="J42" s="1070"/>
    </row>
    <row r="43" spans="2:10" ht="12.75">
      <c r="B43" s="194"/>
      <c r="G43" s="1052" t="s">
        <v>293</v>
      </c>
      <c r="H43" s="1075"/>
      <c r="I43" s="1075" t="s">
        <v>294</v>
      </c>
      <c r="J43" s="1070"/>
    </row>
    <row r="44" spans="2:10" ht="12.75">
      <c r="B44" s="194"/>
      <c r="G44" s="1052" t="s">
        <v>295</v>
      </c>
      <c r="H44" s="1075"/>
      <c r="I44" s="1075" t="s">
        <v>306</v>
      </c>
      <c r="J44" s="1070"/>
    </row>
    <row r="45" spans="2:10" ht="12.75">
      <c r="B45" s="194"/>
      <c r="G45" s="1072" t="s">
        <v>297</v>
      </c>
      <c r="H45" s="1073"/>
      <c r="I45" s="1073" t="s">
        <v>307</v>
      </c>
      <c r="J45" s="1074"/>
    </row>
    <row r="46" ht="12.75">
      <c r="B46" s="194"/>
    </row>
    <row r="47" ht="12.75">
      <c r="B47" s="148"/>
    </row>
    <row r="49" spans="2:5" ht="12.75">
      <c r="B49" s="1053" t="s">
        <v>337</v>
      </c>
      <c r="C49" s="1054"/>
      <c r="D49" s="1054"/>
      <c r="E49" s="1054"/>
    </row>
    <row r="50" spans="1:5" ht="13.5" thickBot="1">
      <c r="A50" s="193"/>
      <c r="B50" s="1055"/>
      <c r="C50" s="1056"/>
      <c r="D50" s="1056"/>
      <c r="E50" s="1056"/>
    </row>
    <row r="51" spans="2:10" ht="13.5" thickTop="1">
      <c r="B51" s="194"/>
      <c r="G51" s="1050" t="s">
        <v>283</v>
      </c>
      <c r="H51" s="1071"/>
      <c r="I51" s="1071" t="s">
        <v>308</v>
      </c>
      <c r="J51" s="1069"/>
    </row>
    <row r="52" spans="2:10" ht="12.75">
      <c r="B52" s="194"/>
      <c r="G52" s="1052" t="s">
        <v>285</v>
      </c>
      <c r="H52" s="1075"/>
      <c r="I52" s="1075" t="s">
        <v>668</v>
      </c>
      <c r="J52" s="1070"/>
    </row>
    <row r="53" spans="2:10" ht="12.75">
      <c r="B53" s="194"/>
      <c r="G53" s="1052" t="s">
        <v>287</v>
      </c>
      <c r="H53" s="1075"/>
      <c r="I53" s="1075" t="s">
        <v>310</v>
      </c>
      <c r="J53" s="1070"/>
    </row>
    <row r="54" spans="2:10" ht="12.75">
      <c r="B54" s="194"/>
      <c r="G54" s="1052" t="s">
        <v>289</v>
      </c>
      <c r="H54" s="1075"/>
      <c r="I54" s="1075" t="s">
        <v>311</v>
      </c>
      <c r="J54" s="1070"/>
    </row>
    <row r="55" spans="2:10" ht="12.75">
      <c r="B55" s="194"/>
      <c r="G55" s="1052" t="s">
        <v>291</v>
      </c>
      <c r="H55" s="1075"/>
      <c r="I55" s="1075" t="s">
        <v>292</v>
      </c>
      <c r="J55" s="1070"/>
    </row>
    <row r="56" spans="2:10" ht="12.75">
      <c r="B56" s="194"/>
      <c r="G56" s="1052" t="s">
        <v>293</v>
      </c>
      <c r="H56" s="1075"/>
      <c r="I56" s="1075" t="s">
        <v>294</v>
      </c>
      <c r="J56" s="1070"/>
    </row>
    <row r="57" spans="2:10" ht="12.75">
      <c r="B57" s="194"/>
      <c r="G57" s="1052" t="s">
        <v>295</v>
      </c>
      <c r="H57" s="1075"/>
      <c r="I57" s="1075" t="s">
        <v>312</v>
      </c>
      <c r="J57" s="1070"/>
    </row>
    <row r="58" spans="2:10" ht="12.75">
      <c r="B58" s="194"/>
      <c r="G58" s="1072" t="s">
        <v>297</v>
      </c>
      <c r="H58" s="1073"/>
      <c r="I58" s="1073" t="s">
        <v>313</v>
      </c>
      <c r="J58" s="1074"/>
    </row>
    <row r="59" ht="12.75">
      <c r="B59" s="194"/>
    </row>
    <row r="61" spans="2:5" ht="12.75">
      <c r="B61" s="1053" t="s">
        <v>338</v>
      </c>
      <c r="C61" s="1054"/>
      <c r="D61" s="1054"/>
      <c r="E61" s="1054"/>
    </row>
    <row r="62" spans="1:5" ht="13.5" thickBot="1">
      <c r="A62" s="193"/>
      <c r="B62" s="1055"/>
      <c r="C62" s="1056"/>
      <c r="D62" s="1056"/>
      <c r="E62" s="1056"/>
    </row>
    <row r="63" spans="2:10" ht="13.5" thickTop="1">
      <c r="B63" s="194"/>
      <c r="G63" s="1050" t="s">
        <v>283</v>
      </c>
      <c r="H63" s="1071"/>
      <c r="I63" s="1071" t="s">
        <v>314</v>
      </c>
      <c r="J63" s="1069"/>
    </row>
    <row r="64" spans="2:10" ht="12.75">
      <c r="B64" s="194"/>
      <c r="G64" s="1052" t="s">
        <v>285</v>
      </c>
      <c r="H64" s="1075"/>
      <c r="I64" s="1075" t="s">
        <v>669</v>
      </c>
      <c r="J64" s="1070"/>
    </row>
    <row r="65" spans="2:10" ht="12.75">
      <c r="B65" s="194"/>
      <c r="G65" s="1052" t="s">
        <v>287</v>
      </c>
      <c r="H65" s="1075"/>
      <c r="I65" s="1075" t="s">
        <v>315</v>
      </c>
      <c r="J65" s="1070"/>
    </row>
    <row r="66" spans="2:10" ht="12.75">
      <c r="B66" s="194"/>
      <c r="G66" s="1052" t="s">
        <v>289</v>
      </c>
      <c r="H66" s="1075"/>
      <c r="I66" s="1075" t="s">
        <v>316</v>
      </c>
      <c r="J66" s="1070"/>
    </row>
    <row r="67" spans="2:10" ht="12.75">
      <c r="B67" s="194"/>
      <c r="G67" s="1052" t="s">
        <v>291</v>
      </c>
      <c r="H67" s="1075"/>
      <c r="I67" s="1075" t="s">
        <v>292</v>
      </c>
      <c r="J67" s="1070"/>
    </row>
    <row r="68" spans="2:10" ht="12.75">
      <c r="B68" s="194"/>
      <c r="G68" s="1052" t="s">
        <v>293</v>
      </c>
      <c r="H68" s="1075"/>
      <c r="I68" s="1075" t="s">
        <v>317</v>
      </c>
      <c r="J68" s="1070"/>
    </row>
    <row r="69" spans="2:10" ht="12.75">
      <c r="B69" s="194"/>
      <c r="G69" s="1052" t="s">
        <v>295</v>
      </c>
      <c r="H69" s="1075"/>
      <c r="I69" s="1075" t="s">
        <v>318</v>
      </c>
      <c r="J69" s="1070"/>
    </row>
    <row r="70" spans="2:10" ht="12.75">
      <c r="B70" s="194"/>
      <c r="G70" s="1072" t="s">
        <v>297</v>
      </c>
      <c r="H70" s="1073"/>
      <c r="I70" s="1073" t="s">
        <v>319</v>
      </c>
      <c r="J70" s="1074"/>
    </row>
    <row r="71" ht="12.75">
      <c r="B71" s="194"/>
    </row>
    <row r="72" ht="12.75">
      <c r="B72" s="148"/>
    </row>
    <row r="74" spans="2:5" ht="12.75">
      <c r="B74" s="1053" t="s">
        <v>339</v>
      </c>
      <c r="C74" s="1054"/>
      <c r="D74" s="1054"/>
      <c r="E74" s="1054"/>
    </row>
    <row r="75" spans="1:5" ht="13.5" thickBot="1">
      <c r="A75" s="193"/>
      <c r="B75" s="1055"/>
      <c r="C75" s="1056"/>
      <c r="D75" s="1056"/>
      <c r="E75" s="1056"/>
    </row>
    <row r="76" spans="2:10" ht="13.5" thickTop="1">
      <c r="B76" s="194"/>
      <c r="G76" s="1050" t="s">
        <v>283</v>
      </c>
      <c r="H76" s="1071"/>
      <c r="I76" s="1071" t="s">
        <v>320</v>
      </c>
      <c r="J76" s="1069"/>
    </row>
    <row r="77" spans="2:10" ht="12.75">
      <c r="B77" s="194"/>
      <c r="G77" s="1052" t="s">
        <v>285</v>
      </c>
      <c r="H77" s="1075"/>
      <c r="I77" s="1075" t="s">
        <v>670</v>
      </c>
      <c r="J77" s="1070"/>
    </row>
    <row r="78" spans="2:10" ht="12.75">
      <c r="B78" s="194"/>
      <c r="G78" s="1052" t="s">
        <v>287</v>
      </c>
      <c r="H78" s="1075"/>
      <c r="I78" s="1075" t="s">
        <v>359</v>
      </c>
      <c r="J78" s="1070"/>
    </row>
    <row r="79" spans="2:10" ht="12.75">
      <c r="B79" s="194"/>
      <c r="G79" s="1052" t="s">
        <v>289</v>
      </c>
      <c r="H79" s="1075"/>
      <c r="I79" s="1075" t="s">
        <v>301</v>
      </c>
      <c r="J79" s="1070"/>
    </row>
    <row r="80" spans="2:10" ht="12.75">
      <c r="B80" s="194"/>
      <c r="G80" s="1052" t="s">
        <v>291</v>
      </c>
      <c r="H80" s="1075"/>
      <c r="I80" s="1075" t="s">
        <v>321</v>
      </c>
      <c r="J80" s="1070"/>
    </row>
    <row r="81" spans="2:10" ht="12.75">
      <c r="B81" s="194"/>
      <c r="G81" s="1052" t="s">
        <v>293</v>
      </c>
      <c r="H81" s="1075"/>
      <c r="I81" s="1075" t="s">
        <v>322</v>
      </c>
      <c r="J81" s="1070"/>
    </row>
    <row r="82" spans="2:10" ht="12.75">
      <c r="B82" s="194"/>
      <c r="G82" s="1052" t="s">
        <v>295</v>
      </c>
      <c r="H82" s="1075"/>
      <c r="I82" s="1075" t="s">
        <v>323</v>
      </c>
      <c r="J82" s="1070"/>
    </row>
    <row r="83" spans="2:10" ht="12.75">
      <c r="B83" s="194"/>
      <c r="G83" s="1072" t="s">
        <v>297</v>
      </c>
      <c r="H83" s="1073"/>
      <c r="I83" s="1073" t="s">
        <v>324</v>
      </c>
      <c r="J83" s="1074"/>
    </row>
    <row r="84" ht="12.75">
      <c r="B84" s="194"/>
    </row>
    <row r="85" ht="12.75">
      <c r="B85" s="148"/>
    </row>
    <row r="87" spans="2:5" ht="12.75">
      <c r="B87" s="1053" t="s">
        <v>340</v>
      </c>
      <c r="C87" s="1054"/>
      <c r="D87" s="1054"/>
      <c r="E87" s="1054"/>
    </row>
    <row r="88" spans="1:5" ht="13.5" thickBot="1">
      <c r="A88" s="193"/>
      <c r="B88" s="1055"/>
      <c r="C88" s="1056"/>
      <c r="D88" s="1056"/>
      <c r="E88" s="1056"/>
    </row>
    <row r="89" spans="2:10" ht="13.5" thickTop="1">
      <c r="B89" s="194"/>
      <c r="G89" s="1050" t="s">
        <v>283</v>
      </c>
      <c r="H89" s="1071"/>
      <c r="I89" s="1071" t="s">
        <v>325</v>
      </c>
      <c r="J89" s="1069"/>
    </row>
    <row r="90" spans="2:10" ht="12.75">
      <c r="B90" s="194"/>
      <c r="G90" s="1052" t="s">
        <v>285</v>
      </c>
      <c r="H90" s="1075"/>
      <c r="I90" s="1075" t="s">
        <v>309</v>
      </c>
      <c r="J90" s="1070"/>
    </row>
    <row r="91" spans="2:10" ht="12.75">
      <c r="B91" s="194"/>
      <c r="G91" s="1052" t="s">
        <v>287</v>
      </c>
      <c r="H91" s="1075"/>
      <c r="I91" s="1075" t="s">
        <v>326</v>
      </c>
      <c r="J91" s="1070"/>
    </row>
    <row r="92" spans="2:10" ht="12.75">
      <c r="B92" s="194"/>
      <c r="G92" s="1052" t="s">
        <v>289</v>
      </c>
      <c r="H92" s="1075"/>
      <c r="I92" s="1075" t="s">
        <v>301</v>
      </c>
      <c r="J92" s="1070"/>
    </row>
    <row r="93" spans="2:10" ht="12.75">
      <c r="B93" s="194"/>
      <c r="G93" s="1052" t="s">
        <v>291</v>
      </c>
      <c r="H93" s="1075"/>
      <c r="I93" s="1075" t="s">
        <v>292</v>
      </c>
      <c r="J93" s="1070"/>
    </row>
    <row r="94" spans="2:10" ht="12.75">
      <c r="B94" s="194"/>
      <c r="G94" s="1052" t="s">
        <v>293</v>
      </c>
      <c r="H94" s="1075"/>
      <c r="I94" s="1075" t="s">
        <v>327</v>
      </c>
      <c r="J94" s="1070"/>
    </row>
    <row r="95" spans="2:10" ht="12.75">
      <c r="B95" s="194"/>
      <c r="G95" s="1052" t="s">
        <v>295</v>
      </c>
      <c r="H95" s="1075"/>
      <c r="I95" s="1075" t="s">
        <v>328</v>
      </c>
      <c r="J95" s="1070"/>
    </row>
    <row r="96" spans="2:10" ht="12.75">
      <c r="B96" s="194"/>
      <c r="G96" s="1072" t="s">
        <v>297</v>
      </c>
      <c r="H96" s="1073"/>
      <c r="I96" s="1073" t="s">
        <v>329</v>
      </c>
      <c r="J96" s="1074"/>
    </row>
    <row r="97" ht="12.75">
      <c r="B97" s="194"/>
    </row>
    <row r="103" spans="2:10" ht="12.75" customHeight="1" hidden="1">
      <c r="B103" s="1061" t="s">
        <v>96</v>
      </c>
      <c r="C103" s="1062"/>
      <c r="D103" s="1062"/>
      <c r="E103" s="1063"/>
      <c r="F103" s="1067" t="s">
        <v>330</v>
      </c>
      <c r="G103" s="205" t="s">
        <v>344</v>
      </c>
      <c r="H103" s="205" t="s">
        <v>341</v>
      </c>
      <c r="I103" s="205" t="s">
        <v>342</v>
      </c>
      <c r="J103" s="205" t="s">
        <v>343</v>
      </c>
    </row>
    <row r="104" spans="2:10" ht="12.75" customHeight="1" hidden="1">
      <c r="B104" s="1064"/>
      <c r="C104" s="1065"/>
      <c r="D104" s="1065"/>
      <c r="E104" s="1066"/>
      <c r="F104" s="1068"/>
      <c r="G104" s="206" t="s">
        <v>331</v>
      </c>
      <c r="H104" s="206" t="s">
        <v>331</v>
      </c>
      <c r="I104" s="206" t="s">
        <v>331</v>
      </c>
      <c r="J104" s="206" t="s">
        <v>331</v>
      </c>
    </row>
    <row r="105" spans="2:10" ht="16.5" customHeight="1" hidden="1">
      <c r="B105" s="1046" t="s">
        <v>429</v>
      </c>
      <c r="C105" s="1047"/>
      <c r="D105" s="1047"/>
      <c r="E105" s="1048"/>
      <c r="F105" s="195" t="s">
        <v>331</v>
      </c>
      <c r="G105" s="200">
        <v>53</v>
      </c>
      <c r="H105" s="200">
        <v>48</v>
      </c>
      <c r="I105" s="200">
        <v>43</v>
      </c>
      <c r="J105" s="200">
        <v>38</v>
      </c>
    </row>
    <row r="106" spans="2:10" ht="16.5" customHeight="1" hidden="1">
      <c r="B106" s="1037" t="s">
        <v>433</v>
      </c>
      <c r="C106" s="1038"/>
      <c r="D106" s="1038"/>
      <c r="E106" s="1039"/>
      <c r="F106" s="196" t="s">
        <v>331</v>
      </c>
      <c r="G106" s="201">
        <v>53</v>
      </c>
      <c r="H106" s="201">
        <v>48</v>
      </c>
      <c r="I106" s="201">
        <v>43</v>
      </c>
      <c r="J106" s="201">
        <v>38</v>
      </c>
    </row>
    <row r="107" spans="2:10" ht="16.5" customHeight="1" hidden="1">
      <c r="B107" s="1037" t="s">
        <v>430</v>
      </c>
      <c r="C107" s="1038"/>
      <c r="D107" s="1038"/>
      <c r="E107" s="1039"/>
      <c r="F107" s="196" t="s">
        <v>331</v>
      </c>
      <c r="G107" s="201">
        <v>50</v>
      </c>
      <c r="H107" s="201">
        <v>45</v>
      </c>
      <c r="I107" s="201">
        <v>40</v>
      </c>
      <c r="J107" s="201">
        <v>35</v>
      </c>
    </row>
    <row r="108" spans="2:10" ht="16.5" customHeight="1" hidden="1">
      <c r="B108" s="1037" t="s">
        <v>436</v>
      </c>
      <c r="C108" s="1038"/>
      <c r="D108" s="1038"/>
      <c r="E108" s="1039"/>
      <c r="F108" s="196" t="s">
        <v>331</v>
      </c>
      <c r="G108" s="201">
        <v>35</v>
      </c>
      <c r="H108" s="201">
        <v>33</v>
      </c>
      <c r="I108" s="201">
        <v>30</v>
      </c>
      <c r="J108" s="201">
        <v>27</v>
      </c>
    </row>
    <row r="109" spans="2:10" ht="16.5" customHeight="1" hidden="1">
      <c r="B109" s="1037" t="s">
        <v>431</v>
      </c>
      <c r="C109" s="1038"/>
      <c r="D109" s="1038"/>
      <c r="E109" s="1039"/>
      <c r="F109" s="196" t="s">
        <v>331</v>
      </c>
      <c r="G109" s="201">
        <v>50</v>
      </c>
      <c r="H109" s="201">
        <v>45</v>
      </c>
      <c r="I109" s="201">
        <v>40</v>
      </c>
      <c r="J109" s="201">
        <v>35</v>
      </c>
    </row>
    <row r="110" spans="2:10" ht="16.5" customHeight="1" hidden="1">
      <c r="B110" s="1037" t="s">
        <v>432</v>
      </c>
      <c r="C110" s="1038"/>
      <c r="D110" s="1038"/>
      <c r="E110" s="1039"/>
      <c r="F110" s="196" t="s">
        <v>331</v>
      </c>
      <c r="G110" s="202">
        <v>50</v>
      </c>
      <c r="H110" s="202">
        <v>45</v>
      </c>
      <c r="I110" s="202">
        <v>40</v>
      </c>
      <c r="J110" s="202">
        <v>35</v>
      </c>
    </row>
    <row r="111" spans="2:10" ht="16.5" customHeight="1" hidden="1">
      <c r="B111" s="1040" t="s">
        <v>434</v>
      </c>
      <c r="C111" s="1041"/>
      <c r="D111" s="1041"/>
      <c r="E111" s="1042"/>
      <c r="F111" s="198" t="s">
        <v>331</v>
      </c>
      <c r="G111" s="203">
        <v>65</v>
      </c>
      <c r="H111" s="203">
        <v>60</v>
      </c>
      <c r="I111" s="203">
        <v>55</v>
      </c>
      <c r="J111" s="203">
        <v>45</v>
      </c>
    </row>
    <row r="112" spans="2:10" ht="16.5" customHeight="1" hidden="1">
      <c r="B112" s="1043" t="s">
        <v>435</v>
      </c>
      <c r="C112" s="1044"/>
      <c r="D112" s="1044"/>
      <c r="E112" s="1045"/>
      <c r="F112" s="197" t="s">
        <v>331</v>
      </c>
      <c r="G112" s="202">
        <v>65</v>
      </c>
      <c r="H112" s="202">
        <v>60</v>
      </c>
      <c r="I112" s="202">
        <v>55</v>
      </c>
      <c r="J112" s="202">
        <v>45</v>
      </c>
    </row>
    <row r="113" spans="2:10" ht="16.5" customHeight="1" hidden="1">
      <c r="B113" s="1058" t="s">
        <v>332</v>
      </c>
      <c r="C113" s="1059"/>
      <c r="D113" s="1059"/>
      <c r="E113" s="1060"/>
      <c r="F113" s="199" t="s">
        <v>331</v>
      </c>
      <c r="G113" s="204">
        <v>65</v>
      </c>
      <c r="H113" s="204">
        <v>60</v>
      </c>
      <c r="I113" s="204">
        <v>55</v>
      </c>
      <c r="J113" s="204">
        <v>45</v>
      </c>
    </row>
    <row r="114" ht="12.75" hidden="1"/>
    <row r="115" spans="2:10" ht="50.25" customHeight="1" hidden="1">
      <c r="B115" s="1057" t="s">
        <v>333</v>
      </c>
      <c r="C115" s="1057"/>
      <c r="D115" s="1057"/>
      <c r="E115" s="1057"/>
      <c r="F115" s="1057"/>
      <c r="G115" s="1057"/>
      <c r="H115" s="1057"/>
      <c r="I115" s="1057"/>
      <c r="J115" s="1057"/>
    </row>
  </sheetData>
  <sheetProtection password="EC81" sheet="1" objects="1" scenarios="1" selectLockedCells="1" selectUnlockedCells="1"/>
  <mergeCells count="132">
    <mergeCell ref="G96:H96"/>
    <mergeCell ref="I96:J96"/>
    <mergeCell ref="G94:H94"/>
    <mergeCell ref="I94:J94"/>
    <mergeCell ref="G95:H95"/>
    <mergeCell ref="I95:J95"/>
    <mergeCell ref="G89:H89"/>
    <mergeCell ref="I89:J89"/>
    <mergeCell ref="I93:J93"/>
    <mergeCell ref="G90:H90"/>
    <mergeCell ref="I90:J90"/>
    <mergeCell ref="G91:H91"/>
    <mergeCell ref="I91:J91"/>
    <mergeCell ref="G92:H92"/>
    <mergeCell ref="I92:J92"/>
    <mergeCell ref="G93:H93"/>
    <mergeCell ref="I80:J80"/>
    <mergeCell ref="G81:H81"/>
    <mergeCell ref="I81:J81"/>
    <mergeCell ref="G82:H82"/>
    <mergeCell ref="I82:J82"/>
    <mergeCell ref="G80:H80"/>
    <mergeCell ref="B87:E88"/>
    <mergeCell ref="B74:E75"/>
    <mergeCell ref="G76:H76"/>
    <mergeCell ref="I76:J76"/>
    <mergeCell ref="G83:H83"/>
    <mergeCell ref="I83:J83"/>
    <mergeCell ref="G78:H78"/>
    <mergeCell ref="I78:J78"/>
    <mergeCell ref="G79:H79"/>
    <mergeCell ref="I79:J79"/>
    <mergeCell ref="G77:H77"/>
    <mergeCell ref="I77:J77"/>
    <mergeCell ref="G67:H67"/>
    <mergeCell ref="I67:J67"/>
    <mergeCell ref="G68:H68"/>
    <mergeCell ref="I68:J68"/>
    <mergeCell ref="G69:H69"/>
    <mergeCell ref="I69:J69"/>
    <mergeCell ref="G70:H70"/>
    <mergeCell ref="I70:J70"/>
    <mergeCell ref="G66:H66"/>
    <mergeCell ref="I66:J66"/>
    <mergeCell ref="G57:H57"/>
    <mergeCell ref="I57:J57"/>
    <mergeCell ref="G58:H58"/>
    <mergeCell ref="I58:J58"/>
    <mergeCell ref="G64:H64"/>
    <mergeCell ref="I64:J64"/>
    <mergeCell ref="G65:H65"/>
    <mergeCell ref="I65:J65"/>
    <mergeCell ref="G63:H63"/>
    <mergeCell ref="I63:J63"/>
    <mergeCell ref="G54:H54"/>
    <mergeCell ref="I54:J54"/>
    <mergeCell ref="G55:H55"/>
    <mergeCell ref="I55:J55"/>
    <mergeCell ref="G56:H56"/>
    <mergeCell ref="I56:J56"/>
    <mergeCell ref="B49:E50"/>
    <mergeCell ref="G51:H51"/>
    <mergeCell ref="I51:J51"/>
    <mergeCell ref="B61:E62"/>
    <mergeCell ref="G53:H53"/>
    <mergeCell ref="I53:J53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G52:H52"/>
    <mergeCell ref="I52:J52"/>
    <mergeCell ref="I45:J45"/>
    <mergeCell ref="G39:H39"/>
    <mergeCell ref="I39:J39"/>
    <mergeCell ref="G40:H40"/>
    <mergeCell ref="B36:E37"/>
    <mergeCell ref="G38:H38"/>
    <mergeCell ref="I38:J38"/>
    <mergeCell ref="I40:J40"/>
    <mergeCell ref="I29:J29"/>
    <mergeCell ref="I27:J27"/>
    <mergeCell ref="G32:H32"/>
    <mergeCell ref="I32:J32"/>
    <mergeCell ref="I28:J28"/>
    <mergeCell ref="G27:H27"/>
    <mergeCell ref="G30:H30"/>
    <mergeCell ref="I30:J30"/>
    <mergeCell ref="G31:H31"/>
    <mergeCell ref="I14:J14"/>
    <mergeCell ref="G15:H15"/>
    <mergeCell ref="I15:J15"/>
    <mergeCell ref="I31:J31"/>
    <mergeCell ref="G16:H16"/>
    <mergeCell ref="I16:J16"/>
    <mergeCell ref="G28:H28"/>
    <mergeCell ref="G26:H26"/>
    <mergeCell ref="I26:J26"/>
    <mergeCell ref="G29:H29"/>
    <mergeCell ref="B10:E11"/>
    <mergeCell ref="I12:J12"/>
    <mergeCell ref="I13:J13"/>
    <mergeCell ref="G25:H25"/>
    <mergeCell ref="I25:J25"/>
    <mergeCell ref="G18:H18"/>
    <mergeCell ref="I18:J18"/>
    <mergeCell ref="G19:H19"/>
    <mergeCell ref="I19:J19"/>
    <mergeCell ref="I17:J17"/>
    <mergeCell ref="B115:J115"/>
    <mergeCell ref="B113:E113"/>
    <mergeCell ref="B103:E104"/>
    <mergeCell ref="B108:E108"/>
    <mergeCell ref="B107:E107"/>
    <mergeCell ref="B109:E109"/>
    <mergeCell ref="B110:E110"/>
    <mergeCell ref="F103:F104"/>
    <mergeCell ref="A8:J8"/>
    <mergeCell ref="B106:E106"/>
    <mergeCell ref="B111:E111"/>
    <mergeCell ref="B112:E112"/>
    <mergeCell ref="B105:E105"/>
    <mergeCell ref="G12:H12"/>
    <mergeCell ref="G13:H13"/>
    <mergeCell ref="G17:H17"/>
    <mergeCell ref="G14:H14"/>
    <mergeCell ref="B23:E24"/>
  </mergeCells>
  <hyperlinks>
    <hyperlink ref="I5" r:id="rId1" display="info@agrohoztorg.ru"/>
    <hyperlink ref="I6" r:id="rId2" display="www.agrohoztorg.ru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showGridLines="0" zoomScale="90" zoomScaleNormal="9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D4" sqref="D4:H6"/>
    </sheetView>
  </sheetViews>
  <sheetFormatPr defaultColWidth="9.140625" defaultRowHeight="69.75" customHeight="1"/>
  <cols>
    <col min="1" max="1" width="9.140625" style="108" customWidth="1"/>
    <col min="2" max="2" width="23.421875" style="109" customWidth="1"/>
    <col min="3" max="3" width="10.140625" style="110" customWidth="1"/>
    <col min="4" max="4" width="17.8515625" style="110" customWidth="1"/>
    <col min="5" max="5" width="13.8515625" style="98" customWidth="1"/>
    <col min="6" max="6" width="1.8515625" style="98" customWidth="1"/>
    <col min="7" max="7" width="9.140625" style="108" customWidth="1"/>
    <col min="8" max="8" width="23.421875" style="98" customWidth="1"/>
    <col min="9" max="9" width="10.140625" style="110" customWidth="1"/>
    <col min="10" max="10" width="17.8515625" style="110" customWidth="1"/>
    <col min="11" max="11" width="13.8515625" style="98" customWidth="1"/>
    <col min="12" max="16384" width="9.140625" style="98" customWidth="1"/>
  </cols>
  <sheetData>
    <row r="1" spans="1:11" s="80" customFormat="1" ht="30" customHeight="1">
      <c r="A1" s="73" t="s">
        <v>8</v>
      </c>
      <c r="B1" s="74"/>
      <c r="C1" s="75"/>
      <c r="D1" s="76"/>
      <c r="E1" s="77"/>
      <c r="F1" s="77"/>
      <c r="G1" s="78"/>
      <c r="H1" s="79"/>
      <c r="I1" s="125" t="s">
        <v>86</v>
      </c>
      <c r="J1" s="126"/>
      <c r="K1" s="127"/>
    </row>
    <row r="2" spans="1:11" s="80" customFormat="1" ht="13.5" customHeight="1">
      <c r="A2" s="81" t="s">
        <v>9</v>
      </c>
      <c r="B2" s="82"/>
      <c r="C2" s="83"/>
      <c r="D2" s="84"/>
      <c r="E2" s="85"/>
      <c r="F2" s="85"/>
      <c r="G2" s="86"/>
      <c r="H2" s="87"/>
      <c r="I2" s="55" t="s">
        <v>49</v>
      </c>
      <c r="J2" s="56"/>
      <c r="K2" s="57"/>
    </row>
    <row r="3" spans="1:11" s="80" customFormat="1" ht="13.5" customHeight="1">
      <c r="A3" s="88"/>
      <c r="B3" s="82"/>
      <c r="C3" s="83"/>
      <c r="D3" s="84"/>
      <c r="E3" s="85"/>
      <c r="F3" s="85"/>
      <c r="G3" s="88"/>
      <c r="H3" s="87"/>
      <c r="I3" s="58" t="s">
        <v>21</v>
      </c>
      <c r="J3" s="56" t="s">
        <v>10</v>
      </c>
      <c r="K3" s="58"/>
    </row>
    <row r="4" spans="1:11" s="80" customFormat="1" ht="13.5" customHeight="1">
      <c r="A4" s="88"/>
      <c r="B4" s="82"/>
      <c r="C4" s="83"/>
      <c r="D4" s="1076" t="s">
        <v>94</v>
      </c>
      <c r="E4" s="1076"/>
      <c r="F4" s="1076"/>
      <c r="G4" s="1076"/>
      <c r="H4" s="1076"/>
      <c r="I4" s="58" t="s">
        <v>22</v>
      </c>
      <c r="J4" s="56" t="s">
        <v>11</v>
      </c>
      <c r="K4" s="58"/>
    </row>
    <row r="5" spans="1:11" s="80" customFormat="1" ht="13.5" customHeight="1">
      <c r="A5" s="88"/>
      <c r="B5" s="90"/>
      <c r="C5" s="91"/>
      <c r="D5" s="1076"/>
      <c r="E5" s="1076"/>
      <c r="F5" s="1076"/>
      <c r="G5" s="1076"/>
      <c r="H5" s="1076"/>
      <c r="I5" s="59" t="s">
        <v>12</v>
      </c>
      <c r="J5" s="60" t="s">
        <v>13</v>
      </c>
      <c r="K5" s="61"/>
    </row>
    <row r="6" spans="1:12" s="93" customFormat="1" ht="13.5" customHeight="1">
      <c r="A6" s="88"/>
      <c r="B6" s="90"/>
      <c r="C6" s="91"/>
      <c r="D6" s="1076"/>
      <c r="E6" s="1076"/>
      <c r="F6" s="1076"/>
      <c r="G6" s="1076"/>
      <c r="H6" s="1076"/>
      <c r="I6" s="89"/>
      <c r="J6" s="89"/>
      <c r="K6" s="91"/>
      <c r="L6" s="92"/>
    </row>
    <row r="7" spans="1:12" s="93" customFormat="1" ht="13.5" customHeight="1" thickBot="1">
      <c r="A7" s="88"/>
      <c r="B7" s="90"/>
      <c r="C7" s="91"/>
      <c r="D7" s="91"/>
      <c r="E7" s="91"/>
      <c r="F7" s="91"/>
      <c r="G7" s="88"/>
      <c r="H7" s="91"/>
      <c r="I7" s="91"/>
      <c r="J7" s="91"/>
      <c r="K7" s="91"/>
      <c r="L7" s="92"/>
    </row>
    <row r="8" spans="1:11" ht="18" customHeight="1" thickBot="1">
      <c r="A8" s="94" t="s">
        <v>95</v>
      </c>
      <c r="B8" s="95" t="s">
        <v>96</v>
      </c>
      <c r="C8" s="96" t="s">
        <v>97</v>
      </c>
      <c r="D8" s="96" t="s">
        <v>98</v>
      </c>
      <c r="E8" s="97" t="s">
        <v>99</v>
      </c>
      <c r="G8" s="94" t="s">
        <v>95</v>
      </c>
      <c r="H8" s="96" t="s">
        <v>96</v>
      </c>
      <c r="I8" s="96" t="s">
        <v>97</v>
      </c>
      <c r="J8" s="96" t="s">
        <v>98</v>
      </c>
      <c r="K8" s="97" t="s">
        <v>99</v>
      </c>
    </row>
    <row r="9" spans="1:11" ht="69.75" customHeight="1" thickBot="1">
      <c r="A9" s="99" t="s">
        <v>100</v>
      </c>
      <c r="B9" s="100" t="s">
        <v>101</v>
      </c>
      <c r="C9" s="101" t="s">
        <v>102</v>
      </c>
      <c r="D9" s="101" t="s">
        <v>103</v>
      </c>
      <c r="E9" s="102"/>
      <c r="G9" s="99" t="s">
        <v>52</v>
      </c>
      <c r="H9" s="100" t="s">
        <v>104</v>
      </c>
      <c r="I9" s="101" t="s">
        <v>105</v>
      </c>
      <c r="J9" s="101" t="s">
        <v>106</v>
      </c>
      <c r="K9" s="102"/>
    </row>
    <row r="10" spans="1:11" ht="69.75" customHeight="1" thickBot="1">
      <c r="A10" s="99" t="s">
        <v>107</v>
      </c>
      <c r="B10" s="100" t="s">
        <v>108</v>
      </c>
      <c r="C10" s="101" t="s">
        <v>109</v>
      </c>
      <c r="D10" s="101" t="s">
        <v>110</v>
      </c>
      <c r="E10" s="102"/>
      <c r="G10" s="99" t="s">
        <v>111</v>
      </c>
      <c r="H10" s="100" t="s">
        <v>112</v>
      </c>
      <c r="I10" s="101" t="s">
        <v>113</v>
      </c>
      <c r="J10" s="101" t="s">
        <v>114</v>
      </c>
      <c r="K10" s="102"/>
    </row>
    <row r="11" spans="1:11" ht="69.75" customHeight="1" thickBot="1">
      <c r="A11" s="99" t="s">
        <v>115</v>
      </c>
      <c r="B11" s="100" t="s">
        <v>116</v>
      </c>
      <c r="C11" s="101" t="s">
        <v>117</v>
      </c>
      <c r="D11" s="101" t="s">
        <v>118</v>
      </c>
      <c r="E11" s="102"/>
      <c r="G11" s="99" t="s">
        <v>119</v>
      </c>
      <c r="H11" s="100" t="s">
        <v>120</v>
      </c>
      <c r="I11" s="101" t="s">
        <v>121</v>
      </c>
      <c r="J11" s="101" t="s">
        <v>122</v>
      </c>
      <c r="K11" s="102"/>
    </row>
    <row r="12" spans="1:11" ht="69.75" customHeight="1" thickBot="1">
      <c r="A12" s="99" t="s">
        <v>115</v>
      </c>
      <c r="B12" s="100" t="s">
        <v>123</v>
      </c>
      <c r="C12" s="101" t="s">
        <v>105</v>
      </c>
      <c r="D12" s="101" t="s">
        <v>124</v>
      </c>
      <c r="E12" s="102"/>
      <c r="G12" s="99" t="s">
        <v>125</v>
      </c>
      <c r="H12" s="100" t="s">
        <v>126</v>
      </c>
      <c r="I12" s="101" t="s">
        <v>113</v>
      </c>
      <c r="J12" s="101" t="s">
        <v>127</v>
      </c>
      <c r="K12" s="102"/>
    </row>
    <row r="13" spans="1:11" ht="69.75" customHeight="1" thickBot="1">
      <c r="A13" s="99" t="s">
        <v>50</v>
      </c>
      <c r="B13" s="100" t="s">
        <v>128</v>
      </c>
      <c r="C13" s="101" t="s">
        <v>105</v>
      </c>
      <c r="D13" s="101" t="s">
        <v>129</v>
      </c>
      <c r="E13" s="102"/>
      <c r="G13" s="99" t="s">
        <v>130</v>
      </c>
      <c r="H13" s="100" t="s">
        <v>131</v>
      </c>
      <c r="I13" s="101" t="s">
        <v>113</v>
      </c>
      <c r="J13" s="101" t="s">
        <v>132</v>
      </c>
      <c r="K13" s="102"/>
    </row>
    <row r="14" spans="1:11" ht="69.75" customHeight="1" thickBot="1">
      <c r="A14" s="99" t="s">
        <v>133</v>
      </c>
      <c r="B14" s="100" t="s">
        <v>134</v>
      </c>
      <c r="C14" s="101" t="s">
        <v>135</v>
      </c>
      <c r="D14" s="101" t="s">
        <v>136</v>
      </c>
      <c r="E14" s="102"/>
      <c r="G14" s="99" t="s">
        <v>137</v>
      </c>
      <c r="H14" s="100" t="s">
        <v>138</v>
      </c>
      <c r="I14" s="101" t="s">
        <v>113</v>
      </c>
      <c r="J14" s="101" t="s">
        <v>139</v>
      </c>
      <c r="K14" s="102"/>
    </row>
    <row r="15" spans="1:11" ht="38.25" customHeight="1" thickBot="1">
      <c r="A15" s="103"/>
      <c r="B15" s="104"/>
      <c r="C15" s="105"/>
      <c r="D15" s="105"/>
      <c r="E15" s="106"/>
      <c r="F15" s="107"/>
      <c r="G15" s="103"/>
      <c r="H15" s="104"/>
      <c r="I15" s="105"/>
      <c r="J15" s="105"/>
      <c r="K15" s="106"/>
    </row>
    <row r="16" spans="1:11" ht="18" customHeight="1" thickBot="1">
      <c r="A16" s="94" t="s">
        <v>95</v>
      </c>
      <c r="B16" s="95" t="s">
        <v>96</v>
      </c>
      <c r="C16" s="96" t="s">
        <v>97</v>
      </c>
      <c r="D16" s="96" t="s">
        <v>98</v>
      </c>
      <c r="E16" s="97" t="s">
        <v>99</v>
      </c>
      <c r="G16" s="94" t="s">
        <v>95</v>
      </c>
      <c r="H16" s="95" t="s">
        <v>96</v>
      </c>
      <c r="I16" s="96" t="s">
        <v>97</v>
      </c>
      <c r="J16" s="96" t="s">
        <v>98</v>
      </c>
      <c r="K16" s="97" t="s">
        <v>99</v>
      </c>
    </row>
    <row r="17" spans="1:11" ht="69.75" customHeight="1" thickBot="1">
      <c r="A17" s="99" t="s">
        <v>140</v>
      </c>
      <c r="B17" s="100" t="s">
        <v>141</v>
      </c>
      <c r="C17" s="101" t="s">
        <v>113</v>
      </c>
      <c r="D17" s="101" t="s">
        <v>142</v>
      </c>
      <c r="E17" s="102"/>
      <c r="G17" s="99" t="s">
        <v>143</v>
      </c>
      <c r="H17" s="100" t="s">
        <v>144</v>
      </c>
      <c r="I17" s="101" t="s">
        <v>113</v>
      </c>
      <c r="J17" s="101" t="s">
        <v>145</v>
      </c>
      <c r="K17" s="102"/>
    </row>
    <row r="18" spans="1:11" ht="69.75" customHeight="1" thickBot="1">
      <c r="A18" s="99" t="s">
        <v>250</v>
      </c>
      <c r="B18" s="100" t="s">
        <v>146</v>
      </c>
      <c r="C18" s="101" t="s">
        <v>113</v>
      </c>
      <c r="D18" s="101" t="s">
        <v>147</v>
      </c>
      <c r="E18" s="102"/>
      <c r="G18" s="99" t="s">
        <v>148</v>
      </c>
      <c r="H18" s="100" t="s">
        <v>149</v>
      </c>
      <c r="I18" s="101" t="s">
        <v>102</v>
      </c>
      <c r="J18" s="101" t="s">
        <v>150</v>
      </c>
      <c r="K18" s="102"/>
    </row>
    <row r="19" spans="1:11" ht="69.75" customHeight="1" thickBot="1">
      <c r="A19" s="99" t="s">
        <v>249</v>
      </c>
      <c r="B19" s="100" t="s">
        <v>151</v>
      </c>
      <c r="C19" s="101" t="s">
        <v>102</v>
      </c>
      <c r="D19" s="101" t="s">
        <v>152</v>
      </c>
      <c r="E19" s="102"/>
      <c r="G19" s="99" t="s">
        <v>153</v>
      </c>
      <c r="H19" s="100" t="s">
        <v>154</v>
      </c>
      <c r="I19" s="101" t="s">
        <v>135</v>
      </c>
      <c r="J19" s="101" t="s">
        <v>155</v>
      </c>
      <c r="K19" s="102"/>
    </row>
    <row r="20" spans="1:11" ht="69.75" customHeight="1" thickBot="1">
      <c r="A20" s="99" t="s">
        <v>156</v>
      </c>
      <c r="B20" s="100" t="s">
        <v>157</v>
      </c>
      <c r="C20" s="101" t="s">
        <v>102</v>
      </c>
      <c r="D20" s="101" t="s">
        <v>158</v>
      </c>
      <c r="E20" s="102"/>
      <c r="G20" s="99" t="s">
        <v>159</v>
      </c>
      <c r="H20" s="100" t="s">
        <v>160</v>
      </c>
      <c r="I20" s="101" t="s">
        <v>161</v>
      </c>
      <c r="J20" s="101" t="s">
        <v>162</v>
      </c>
      <c r="K20" s="102"/>
    </row>
    <row r="21" spans="1:11" ht="69.75" customHeight="1" thickBot="1">
      <c r="A21" s="99" t="s">
        <v>51</v>
      </c>
      <c r="B21" s="100" t="s">
        <v>163</v>
      </c>
      <c r="C21" s="101" t="s">
        <v>113</v>
      </c>
      <c r="D21" s="101" t="s">
        <v>164</v>
      </c>
      <c r="E21" s="102"/>
      <c r="G21" s="99" t="s">
        <v>54</v>
      </c>
      <c r="H21" s="100" t="s">
        <v>165</v>
      </c>
      <c r="I21" s="101" t="s">
        <v>105</v>
      </c>
      <c r="J21" s="101" t="s">
        <v>166</v>
      </c>
      <c r="K21" s="102"/>
    </row>
    <row r="22" spans="1:11" ht="69.75" customHeight="1" thickBot="1">
      <c r="A22" s="99" t="s">
        <v>167</v>
      </c>
      <c r="B22" s="100" t="s">
        <v>168</v>
      </c>
      <c r="C22" s="101" t="s">
        <v>113</v>
      </c>
      <c r="D22" s="101" t="s">
        <v>169</v>
      </c>
      <c r="E22" s="102"/>
      <c r="G22" s="99" t="s">
        <v>53</v>
      </c>
      <c r="H22" s="100" t="s">
        <v>170</v>
      </c>
      <c r="I22" s="101" t="s">
        <v>105</v>
      </c>
      <c r="J22" s="101" t="s">
        <v>171</v>
      </c>
      <c r="K22" s="102"/>
    </row>
    <row r="23" spans="1:11" ht="69.75" customHeight="1" thickBot="1">
      <c r="A23" s="99" t="s">
        <v>172</v>
      </c>
      <c r="B23" s="100" t="s">
        <v>173</v>
      </c>
      <c r="C23" s="101" t="s">
        <v>113</v>
      </c>
      <c r="D23" s="101" t="s">
        <v>174</v>
      </c>
      <c r="E23" s="102"/>
      <c r="G23" s="99" t="s">
        <v>175</v>
      </c>
      <c r="H23" s="100" t="s">
        <v>176</v>
      </c>
      <c r="I23" s="101" t="s">
        <v>105</v>
      </c>
      <c r="J23" s="101" t="s">
        <v>177</v>
      </c>
      <c r="K23" s="102"/>
    </row>
    <row r="24" ht="38.25" customHeight="1" thickBot="1">
      <c r="H24" s="109"/>
    </row>
    <row r="25" spans="1:11" ht="18" customHeight="1" thickBot="1">
      <c r="A25" s="111" t="s">
        <v>95</v>
      </c>
      <c r="B25" s="112" t="s">
        <v>96</v>
      </c>
      <c r="C25" s="113" t="s">
        <v>97</v>
      </c>
      <c r="D25" s="113" t="s">
        <v>98</v>
      </c>
      <c r="E25" s="114" t="s">
        <v>99</v>
      </c>
      <c r="G25" s="111" t="s">
        <v>95</v>
      </c>
      <c r="H25" s="112" t="s">
        <v>96</v>
      </c>
      <c r="I25" s="113" t="s">
        <v>97</v>
      </c>
      <c r="J25" s="113" t="s">
        <v>98</v>
      </c>
      <c r="K25" s="114" t="s">
        <v>99</v>
      </c>
    </row>
    <row r="26" spans="1:11" ht="69.75" customHeight="1" thickBot="1">
      <c r="A26" s="115" t="s">
        <v>178</v>
      </c>
      <c r="B26" s="116" t="s">
        <v>179</v>
      </c>
      <c r="C26" s="117" t="s">
        <v>180</v>
      </c>
      <c r="D26" s="117" t="s">
        <v>181</v>
      </c>
      <c r="E26" s="118"/>
      <c r="G26" s="115"/>
      <c r="H26" s="116" t="s">
        <v>182</v>
      </c>
      <c r="I26" s="117" t="s">
        <v>183</v>
      </c>
      <c r="J26" s="117" t="s">
        <v>184</v>
      </c>
      <c r="K26" s="118"/>
    </row>
    <row r="27" spans="1:11" ht="69.75" customHeight="1" thickBot="1">
      <c r="A27" s="99" t="s">
        <v>185</v>
      </c>
      <c r="B27" s="119" t="s">
        <v>186</v>
      </c>
      <c r="C27" s="101" t="s">
        <v>187</v>
      </c>
      <c r="D27" s="101" t="s">
        <v>188</v>
      </c>
      <c r="E27" s="120"/>
      <c r="G27" s="99"/>
      <c r="H27" s="119" t="s">
        <v>189</v>
      </c>
      <c r="I27" s="101" t="s">
        <v>183</v>
      </c>
      <c r="J27" s="101" t="s">
        <v>190</v>
      </c>
      <c r="K27" s="120"/>
    </row>
    <row r="28" spans="1:11" ht="69.75" customHeight="1" thickBot="1">
      <c r="A28" s="99"/>
      <c r="B28" s="177" t="s">
        <v>191</v>
      </c>
      <c r="C28" s="101" t="s">
        <v>135</v>
      </c>
      <c r="D28" s="101" t="s">
        <v>192</v>
      </c>
      <c r="E28" s="120"/>
      <c r="G28" s="99"/>
      <c r="H28" s="119" t="s">
        <v>189</v>
      </c>
      <c r="I28" s="101" t="s">
        <v>183</v>
      </c>
      <c r="J28" s="101" t="s">
        <v>184</v>
      </c>
      <c r="K28" s="120"/>
    </row>
    <row r="29" spans="1:11" ht="69.75" customHeight="1" thickBot="1">
      <c r="A29" s="99"/>
      <c r="B29" s="119" t="s">
        <v>193</v>
      </c>
      <c r="C29" s="101" t="s">
        <v>183</v>
      </c>
      <c r="D29" s="101" t="s">
        <v>194</v>
      </c>
      <c r="E29" s="120"/>
      <c r="G29" s="99" t="s">
        <v>195</v>
      </c>
      <c r="H29" s="119" t="s">
        <v>196</v>
      </c>
      <c r="I29" s="101" t="s">
        <v>105</v>
      </c>
      <c r="J29" s="101" t="s">
        <v>197</v>
      </c>
      <c r="K29" s="120"/>
    </row>
    <row r="30" spans="1:11" ht="69.75" customHeight="1" thickBot="1">
      <c r="A30" s="121"/>
      <c r="B30" s="122" t="s">
        <v>182</v>
      </c>
      <c r="C30" s="123" t="s">
        <v>183</v>
      </c>
      <c r="D30" s="123" t="s">
        <v>190</v>
      </c>
      <c r="E30" s="124"/>
      <c r="G30" s="121" t="s">
        <v>198</v>
      </c>
      <c r="H30" s="122" t="s">
        <v>199</v>
      </c>
      <c r="I30" s="123" t="s">
        <v>105</v>
      </c>
      <c r="J30" s="123" t="s">
        <v>200</v>
      </c>
      <c r="K30" s="124"/>
    </row>
  </sheetData>
  <sheetProtection selectLockedCells="1" selectUnlockedCells="1"/>
  <mergeCells count="1">
    <mergeCell ref="D4:H6"/>
  </mergeCells>
  <hyperlinks>
    <hyperlink ref="B9" r:id="rId1" display="http://www.npoprotect.ru/prod/agriculture/support/support_139.html"/>
    <hyperlink ref="B10" r:id="rId2" display="http://www.npoprotect.ru/prod/agriculture/support/support_2.html"/>
    <hyperlink ref="B11" r:id="rId3" display="http://www.npoprotect.ru/prod/agriculture/support/support_123.html"/>
    <hyperlink ref="B12" r:id="rId4" display="http://www.npoprotect.ru/prod/agriculture/support/support_123.html"/>
    <hyperlink ref="B13" r:id="rId5" display="http://www.npoprotect.ru/prod/agriculture/support/support_97.html"/>
    <hyperlink ref="B14" r:id="rId6" display="http://www.npoprotect.ru/prod/agriculture/support/support_96.html"/>
    <hyperlink ref="H9" r:id="rId7" display="http://www.npoprotect.ru/prod/agriculture/support/support_99.html"/>
    <hyperlink ref="H10" r:id="rId8" display="http://www.npoprotect.ru/prod/agriculture/support/support_39.html"/>
    <hyperlink ref="H11" r:id="rId9" display="http://www.npoprotect.ru/prod/agriculture/support/support_39.html"/>
    <hyperlink ref="H12" r:id="rId10" display="http://www.npoprotect.ru/prod/agriculture/support/support_39.html"/>
    <hyperlink ref="H13" r:id="rId11" display="http://www.npoprotect.ru/prod/agriculture/support/support_39.html"/>
    <hyperlink ref="H14" r:id="rId12" display="http://www.npoprotect.ru/prod/agriculture/support/support_39.html"/>
    <hyperlink ref="B17" r:id="rId13" display="http://www.npoprotect.ru/prod/agriculture/support/support_39.html"/>
    <hyperlink ref="B18" r:id="rId14" display="http://www.npoprotect.ru/prod/agriculture/support/support_103.html"/>
    <hyperlink ref="B19" r:id="rId15" display="http://www.npoprotect.ru/prod/agriculture/support/support_101.html"/>
    <hyperlink ref="B20" r:id="rId16" display="http://www.npoprotect.ru/prod/agriculture/support/support_91.html"/>
    <hyperlink ref="B21" r:id="rId17" display="http://www.npoprotect.ru/prod/agriculture/support/support_108.html"/>
    <hyperlink ref="B22" r:id="rId18" display="http://www.npoprotect.ru/prod/agriculture/support/support_108.html"/>
    <hyperlink ref="B23" r:id="rId19" display="http://www.npoprotect.ru/prod/agriculture/support/support_108.html"/>
    <hyperlink ref="H17" r:id="rId20" display="http://www.npoprotect.ru/prod/agriculture/support/support_108.html"/>
    <hyperlink ref="H18" r:id="rId21" display="http://www.npoprotect.ru/prod/agriculture/support/support_108.html"/>
    <hyperlink ref="H19" r:id="rId22" display="http://www.npoprotect.ru/prod/agriculture/support/support_102.html"/>
    <hyperlink ref="H20" r:id="rId23" display="http://www.npoprotect.ru/prod/agriculture/support/support_100.html"/>
    <hyperlink ref="H21" r:id="rId24" display="http://www.npoprotect.ru/prod/agriculture/support/support_103.html"/>
    <hyperlink ref="H22" r:id="rId25" display="http://www.npoprotect.ru/prod/agriculture/support/support_104.html"/>
    <hyperlink ref="H23" r:id="rId26" display="http://www.npoprotect.ru/prod/agriculture/support/support_108.html"/>
    <hyperlink ref="B26" r:id="rId27" display="http://www.npoprotect.ru/prod/building/support/support_38.html"/>
    <hyperlink ref="B27" r:id="rId28" display="http://www.npoprotect.ru/prod/building/support/support_38.html"/>
    <hyperlink ref="B28" r:id="rId29" display="Фасад-30"/>
    <hyperlink ref="B29" r:id="rId30" display="http://www.npoprotect.ru/prod/building/support/support_54.html"/>
    <hyperlink ref="B30" r:id="rId31" display="http://www.npoprotect.ru/prod/building/support/support_54.html"/>
    <hyperlink ref="H26" r:id="rId32" display="http://www.npoprotect.ru/prod/building/support/support_54.html"/>
    <hyperlink ref="H27" r:id="rId33" display="http://www.npoprotect.ru/prod/building/support/support_54.html"/>
    <hyperlink ref="H28" r:id="rId34" display="http://www.npoprotect.ru/prod/building/support/support_54.html"/>
    <hyperlink ref="H29" r:id="rId35" display="http://www.npoprotect.ru/prod/building/support/support_86.html"/>
    <hyperlink ref="H30" r:id="rId36" display="http://www.npoprotect.ru/prod/building/support/support_90.html"/>
    <hyperlink ref="J5" r:id="rId37" display="agrohoztorg@list.ru"/>
  </hyperlinks>
  <printOptions horizontalCentered="1"/>
  <pageMargins left="0.1968503937007874" right="0.1968503937007874" top="0.7874015748031497" bottom="0.1968503937007874" header="0.11811023622047245" footer="0.07874015748031496"/>
  <pageSetup fitToHeight="0" fitToWidth="0" horizontalDpi="600" verticalDpi="600" orientation="landscape" paperSize="9" scale="94" r:id="rId39"/>
  <headerFooter alignWithMargins="0">
    <oddFooter>&amp;CСтраница &amp;P из &amp;N</oddFooter>
  </headerFooter>
  <drawing r:id="rId3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zoomScalePageLayoutView="0" workbookViewId="0" topLeftCell="A9">
      <selection activeCell="I51" sqref="I51"/>
    </sheetView>
  </sheetViews>
  <sheetFormatPr defaultColWidth="9.140625" defaultRowHeight="12.75"/>
  <sheetData>
    <row r="1" spans="1:9" s="7" customFormat="1" ht="31.5" customHeight="1">
      <c r="A1" s="128" t="s">
        <v>8</v>
      </c>
      <c r="B1" s="129"/>
      <c r="C1" s="129"/>
      <c r="D1" s="130"/>
      <c r="E1" s="131"/>
      <c r="F1" s="132"/>
      <c r="G1" s="133" t="s">
        <v>209</v>
      </c>
      <c r="H1" s="132"/>
      <c r="I1" s="130"/>
    </row>
    <row r="2" spans="1:8" s="7" customFormat="1" ht="15" customHeight="1">
      <c r="A2" s="134" t="s">
        <v>9</v>
      </c>
      <c r="B2" s="6"/>
      <c r="C2" s="6"/>
      <c r="E2" s="135"/>
      <c r="F2" s="136"/>
      <c r="G2" s="137" t="s">
        <v>201</v>
      </c>
      <c r="H2" s="137"/>
    </row>
    <row r="3" spans="1:8" s="7" customFormat="1" ht="13.5" customHeight="1">
      <c r="A3" s="138"/>
      <c r="B3" s="139"/>
      <c r="C3" s="139"/>
      <c r="E3" s="135"/>
      <c r="F3" s="136"/>
      <c r="G3" s="137" t="s">
        <v>202</v>
      </c>
      <c r="H3" s="137"/>
    </row>
    <row r="4" spans="1:8" s="7" customFormat="1" ht="13.5" customHeight="1">
      <c r="A4" s="138"/>
      <c r="B4" s="139"/>
      <c r="C4" s="139"/>
      <c r="E4" s="135"/>
      <c r="F4" s="140"/>
      <c r="G4" s="137" t="s">
        <v>203</v>
      </c>
      <c r="H4" s="141" t="s">
        <v>204</v>
      </c>
    </row>
    <row r="5" spans="1:8" s="7" customFormat="1" ht="13.5" customHeight="1">
      <c r="A5" s="138"/>
      <c r="B5" s="139"/>
      <c r="C5" s="139"/>
      <c r="E5" s="142"/>
      <c r="F5" s="140"/>
      <c r="G5" s="143" t="s">
        <v>205</v>
      </c>
      <c r="H5" s="141" t="s">
        <v>206</v>
      </c>
    </row>
    <row r="6" spans="5:11" ht="12.75">
      <c r="E6" s="144"/>
      <c r="F6" s="145"/>
      <c r="G6" s="146" t="s">
        <v>12</v>
      </c>
      <c r="H6" s="147" t="s">
        <v>13</v>
      </c>
      <c r="K6" s="148"/>
    </row>
    <row r="9" spans="2:8" ht="39" customHeight="1">
      <c r="B9" s="1077" t="s">
        <v>207</v>
      </c>
      <c r="C9" s="1077"/>
      <c r="D9" s="1077"/>
      <c r="E9" s="1077"/>
      <c r="F9" s="1077"/>
      <c r="G9" s="1077"/>
      <c r="H9" s="1077"/>
    </row>
    <row r="48" spans="4:5" s="148" customFormat="1" ht="12.75">
      <c r="D48" s="166"/>
      <c r="E48" s="167"/>
    </row>
    <row r="49" spans="1:10" s="149" customFormat="1" ht="15.75" customHeight="1">
      <c r="A49"/>
      <c r="B49"/>
      <c r="C49"/>
      <c r="D49"/>
      <c r="E49"/>
      <c r="F49"/>
      <c r="G49"/>
      <c r="H49"/>
      <c r="I49"/>
      <c r="J49" s="150"/>
    </row>
    <row r="50" spans="1:10" s="149" customFormat="1" ht="12" customHeight="1">
      <c r="A50"/>
      <c r="B50"/>
      <c r="C50"/>
      <c r="D50"/>
      <c r="E50"/>
      <c r="F50"/>
      <c r="G50"/>
      <c r="H50"/>
      <c r="I50"/>
      <c r="J50" s="150"/>
    </row>
    <row r="51" spans="1:10" s="149" customFormat="1" ht="12" customHeight="1">
      <c r="A51"/>
      <c r="B51"/>
      <c r="C51"/>
      <c r="D51"/>
      <c r="E51"/>
      <c r="F51"/>
      <c r="G51"/>
      <c r="H51"/>
      <c r="I51"/>
      <c r="J51" s="150"/>
    </row>
    <row r="52" spans="1:10" s="149" customFormat="1" ht="12" customHeight="1">
      <c r="A52"/>
      <c r="B52"/>
      <c r="C52"/>
      <c r="D52"/>
      <c r="E52"/>
      <c r="F52"/>
      <c r="G52"/>
      <c r="H52"/>
      <c r="I52"/>
      <c r="J52" s="150"/>
    </row>
    <row r="53" spans="1:10" s="149" customFormat="1" ht="12" customHeight="1">
      <c r="A53"/>
      <c r="B53"/>
      <c r="C53"/>
      <c r="D53"/>
      <c r="E53"/>
      <c r="F53"/>
      <c r="G53"/>
      <c r="H53"/>
      <c r="I53"/>
      <c r="J53" s="150"/>
    </row>
  </sheetData>
  <sheetProtection sheet="1" objects="1" scenarios="1" selectLockedCells="1" selectUnlockedCells="1"/>
  <mergeCells count="1">
    <mergeCell ref="B9:H9"/>
  </mergeCells>
  <hyperlinks>
    <hyperlink ref="H6" r:id="rId1" display="agrohoztorg@list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2015-11-09T12:05:33Z</cp:lastPrinted>
  <dcterms:created xsi:type="dcterms:W3CDTF">1996-10-08T23:32:33Z</dcterms:created>
  <dcterms:modified xsi:type="dcterms:W3CDTF">2015-12-15T07:48:14Z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